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ORD. LICITA\Desktop\LICITAÇÃO\LICITAÇÃO 2025\BASE DO GERADOR\"/>
    </mc:Choice>
  </mc:AlternateContent>
  <bookViews>
    <workbookView xWindow="0" yWindow="0" windowWidth="28800" windowHeight="12330"/>
  </bookViews>
  <sheets>
    <sheet name="PLANILHA DE CUSTOS OBRA" sheetId="27" r:id="rId1"/>
    <sheet name="CRONOGRAMA" sheetId="31" r:id="rId2"/>
    <sheet name="ANEXO BDI - OUTRAS OBRAS E SERV" sheetId="30" r:id="rId3"/>
    <sheet name="COMPOSIÇÃO" sheetId="20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0" localSheetId="2">'ANEXO BDI - OUTRAS OBRAS E SERV'!#REF!</definedName>
    <definedName name="\0">#REF!</definedName>
    <definedName name="\a" localSheetId="2">'ANEXO BDI - OUTRAS OBRAS E SERV'!#REF!</definedName>
    <definedName name="\a">#REF!</definedName>
    <definedName name="_______Ele200502" localSheetId="2">'ANEXO BDI - OUTRAS OBRAS E SERV'!#REF!</definedName>
    <definedName name="_______Ele200502">#REF!</definedName>
    <definedName name="_______Ele200609">#REF!</definedName>
    <definedName name="_______pv2">#REF!</definedName>
    <definedName name="_______pv3">#REF!</definedName>
    <definedName name="_______Ser200506">#REF!</definedName>
    <definedName name="_______Ser200705">#REF!</definedName>
    <definedName name="_______Ser200712">#REF!</definedName>
    <definedName name="_______Ser201104">#REF!</definedName>
    <definedName name="_______TR2">#REF!</definedName>
    <definedName name="_______TR5">#REF!</definedName>
    <definedName name="______Ele200502">#REF!</definedName>
    <definedName name="______Ele200609">#REF!</definedName>
    <definedName name="______pv2">#REF!</definedName>
    <definedName name="______pv3">#REF!</definedName>
    <definedName name="______Ser200506">#REF!</definedName>
    <definedName name="______Ser200705">#REF!</definedName>
    <definedName name="______Ser200712">#REF!</definedName>
    <definedName name="______Ser201104">#REF!</definedName>
    <definedName name="______TR2">#REF!</definedName>
    <definedName name="______TR5">#REF!</definedName>
    <definedName name="_____Ele200502">#REF!</definedName>
    <definedName name="_____Ele200609">#REF!</definedName>
    <definedName name="_____pv2">#REF!</definedName>
    <definedName name="_____pv3">#REF!</definedName>
    <definedName name="_____Ser200506">#REF!</definedName>
    <definedName name="_____Ser200705">#REF!</definedName>
    <definedName name="_____Ser200712">#REF!</definedName>
    <definedName name="_____Ser201104">#REF!</definedName>
    <definedName name="_____TR2">#REF!</definedName>
    <definedName name="_____TR5">#REF!</definedName>
    <definedName name="____Ele200502">#REF!</definedName>
    <definedName name="____Ele200609">#REF!</definedName>
    <definedName name="____pv2">#REF!</definedName>
    <definedName name="____pv3">#REF!</definedName>
    <definedName name="____Ser200506">#REF!</definedName>
    <definedName name="____Ser200705">#REF!</definedName>
    <definedName name="____Ser200712">#REF!</definedName>
    <definedName name="____Ser201104">#REF!</definedName>
    <definedName name="____TR2">#REF!</definedName>
    <definedName name="____TR5">#REF!</definedName>
    <definedName name="___Ele200502">#REF!</definedName>
    <definedName name="___Ele200609">#REF!</definedName>
    <definedName name="___pv2">#REF!</definedName>
    <definedName name="___pv3">#REF!</definedName>
    <definedName name="___REV5">#REF!</definedName>
    <definedName name="___Ser200506">#REF!</definedName>
    <definedName name="___Ser200705">#REF!</definedName>
    <definedName name="___Ser200712">#REF!</definedName>
    <definedName name="___Ser201104">#REF!</definedName>
    <definedName name="___TR2">#REF!</definedName>
    <definedName name="___TR5">#REF!</definedName>
    <definedName name="__Ele200502">#REF!</definedName>
    <definedName name="__Ele200609">#REF!</definedName>
    <definedName name="__pv2">#REF!</definedName>
    <definedName name="__pv3">#REF!</definedName>
    <definedName name="__REV5">#REF!</definedName>
    <definedName name="__Ser200506">#REF!</definedName>
    <definedName name="__Ser200705">#REF!</definedName>
    <definedName name="__Ser200712">#REF!</definedName>
    <definedName name="__Ser201104">#REF!</definedName>
    <definedName name="__TR2">#REF!</definedName>
    <definedName name="__TR5">#REF!</definedName>
    <definedName name="_Ele200502">#REF!</definedName>
    <definedName name="_Ele200609">#REF!</definedName>
    <definedName name="_xlnm._FilterDatabase" localSheetId="0" hidden="1">'PLANILHA DE CUSTOS OBRA'!$A$2:$K$2</definedName>
    <definedName name="_pv2" localSheetId="2">'ANEXO BDI - OUTRAS OBRAS E SERV'!#REF!</definedName>
    <definedName name="_pv2">#REF!</definedName>
    <definedName name="_pv3" localSheetId="2">'ANEXO BDI - OUTRAS OBRAS E SERV'!#REF!</definedName>
    <definedName name="_pv3">#REF!</definedName>
    <definedName name="_REV5" localSheetId="2">'ANEXO BDI - OUTRAS OBRAS E SERV'!#REF!</definedName>
    <definedName name="_REV5">#REF!</definedName>
    <definedName name="_Ser200506">#REF!</definedName>
    <definedName name="_Ser200705">#REF!</definedName>
    <definedName name="_Ser200712">#REF!</definedName>
    <definedName name="_Ser201104">#REF!</definedName>
    <definedName name="_TR2">#REF!</definedName>
    <definedName name="_TR5">#REF!</definedName>
    <definedName name="A">#REF!</definedName>
    <definedName name="A010160100">'[1]DADOS COLETATO'!$L$9</definedName>
    <definedName name="A010505000">'[1]DADOS COLETATO'!$L$10</definedName>
    <definedName name="A020200010">'[1]DADOS COLETATO'!$L$11</definedName>
    <definedName name="A020200080">'[1]DADOS COLETATO'!$L$12</definedName>
    <definedName name="A03.020.0851">'[1]DADOS COLETATO'!$L$23</definedName>
    <definedName name="A030130010">'[1]DADOS COLETATO'!$L$13</definedName>
    <definedName name="A030130011">'[1]DADOS COLETATO'!$L$14</definedName>
    <definedName name="A030160501">'[1]DADOS COLETATO'!$L$15</definedName>
    <definedName name="A030250100">'[1]DADOS COLETATO'!$L$16</definedName>
    <definedName name="A040050130">'[1]DADOS COLETATO'!$L$17</definedName>
    <definedName name="A040110511">'[1]DADOS COLETATO'!$L$18</definedName>
    <definedName name="A050150050">'[1]DADOS COLETATO'!$L$19</definedName>
    <definedName name="A050200140">'[1]DADOS COLETATO'!$L$20</definedName>
    <definedName name="A050210050">'[1]DADOS COLETATO'!$L$21</definedName>
    <definedName name="A050210100">'[1]DADOS COLETATO'!$L$22</definedName>
    <definedName name="A050210750">'[1]DADOS COLETATO'!$O$9</definedName>
    <definedName name="a06.004.0320">'[1]DADOS COLETATO'!$O$23</definedName>
    <definedName name="A060030500">'[1]DADOS COLETATO'!$O$10</definedName>
    <definedName name="A060040300">'[1]DADOS COLETATO'!$O$11</definedName>
    <definedName name="A060140120">'[1]DADOS COLETATO'!$O$12</definedName>
    <definedName name="A060160120">'[1]DADOS COLETATO'!$O$13</definedName>
    <definedName name="A060160410">'[1]DADOS COLETATO'!$O$14</definedName>
    <definedName name="A080010030">'[1]DADOS COLETATO'!$O$15</definedName>
    <definedName name="A080150100">'[1]DADOS COLETATO'!$O$16</definedName>
    <definedName name="A080270120">'[1]DADOS COLETATO'!$O$17</definedName>
    <definedName name="A150010310">'[1]DADOS COLETATO'!$O$18</definedName>
    <definedName name="A200040031">'[1]DADOS COLETATO'!$O$19</definedName>
    <definedName name="A200090011">'[1]DADOS COLETATO'!$O$20</definedName>
    <definedName name="A200280200">'[1]DADOS COLETATO'!$O$21</definedName>
    <definedName name="aaa" localSheetId="2">'ANEXO BDI - OUTRAS OBRAS E SERV'!#REF!</definedName>
    <definedName name="aaa">#REF!</definedName>
    <definedName name="Abrigo_moto_gerador_consulta" localSheetId="2">'ANEXO BDI - OUTRAS OBRAS E SERV'!#REF!</definedName>
    <definedName name="Abrigo_moto_gerador_consulta">#REF!</definedName>
    <definedName name="Acesso_Estacao_01" localSheetId="2">'ANEXO BDI - OUTRAS OBRAS E SERV'!#REF!</definedName>
    <definedName name="Acesso_Estacao_01">#REF!</definedName>
    <definedName name="adfv">#REF!</definedName>
    <definedName name="Administração">#REF!</definedName>
    <definedName name="alturadocorte">'[1]DADOS COLETATO'!$G$9</definedName>
    <definedName name="_xlnm.Print_Area" localSheetId="2">'ANEXO BDI - OUTRAS OBRAS E SERV'!$A$2:$D$44</definedName>
    <definedName name="_xlnm.Print_Area" localSheetId="0">'PLANILHA DE CUSTOS OBRA'!$A$1:$K$57</definedName>
    <definedName name="_xlnm.Print_Area">#REF!</definedName>
    <definedName name="_xlnm.Database" localSheetId="2">'ANEXO BDI - OUTRAS OBRAS E SERV'!#REF!</definedName>
    <definedName name="_xlnm.Database">#REF!</definedName>
    <definedName name="BASICO" localSheetId="2">'ANEXO BDI - OUTRAS OBRAS E SERV'!#REF!</definedName>
    <definedName name="BASICO">#REF!</definedName>
    <definedName name="botafora">'[1]DADOS COLETATO'!$C$40</definedName>
    <definedName name="brita">'[1]DADOS COLETATO'!$G$10</definedName>
    <definedName name="bstc20">'[1]DADOS COLETATO'!$I$31</definedName>
    <definedName name="bstc40">'[1]DADOS COLETATO'!$I$30</definedName>
    <definedName name="bstc60">'[1]DADOS COLETATO'!$I$29</definedName>
    <definedName name="bstc80">'[1]DADOS COLETATO'!$I$28</definedName>
    <definedName name="C_" localSheetId="2">'ANEXO BDI - OUTRAS OBRAS E SERV'!#REF!</definedName>
    <definedName name="C_">#REF!</definedName>
    <definedName name="caixadecentro">'[1]DADOS COLETATO'!$C$28</definedName>
    <definedName name="Casa_de_maquinas" localSheetId="2">'ANEXO BDI - OUTRAS OBRAS E SERV'!#REF!</definedName>
    <definedName name="Casa_de_maquinas">#REF!</definedName>
    <definedName name="CERCA" localSheetId="2">'ANEXO BDI - OUTRAS OBRAS E SERV'!#REF!</definedName>
    <definedName name="CERCA">#REF!</definedName>
    <definedName name="Cisterna_e_Castelo_d_agua_Consulta" localSheetId="2">'ANEXO BDI - OUTRAS OBRAS E SERV'!#REF!</definedName>
    <definedName name="Cisterna_e_Castelo_d_agua_Consulta">#REF!</definedName>
    <definedName name="CLIENTE">#REF!</definedName>
    <definedName name="Codigos">#REF!</definedName>
    <definedName name="COMPRA">#REF!</definedName>
    <definedName name="COMPRAS">#REF!</definedName>
    <definedName name="COMPRIM">#REF!</definedName>
    <definedName name="comprimento">'[1]DADOS COLETATO'!$E$11</definedName>
    <definedName name="Construcao_Casa_Maq_Plano_Inclinado" localSheetId="2">'ANEXO BDI - OUTRAS OBRAS E SERV'!#REF!</definedName>
    <definedName name="Construcao_Casa_Maq_Plano_Inclinado">#REF!</definedName>
    <definedName name="Construcao_de_Acesso_a_Estacao_I">'[2]12.1'!$A$8:$F$105</definedName>
    <definedName name="Construcao_do_acesso_a_Estacao_I" localSheetId="2">'ANEXO BDI - OUTRAS OBRAS E SERV'!#REF!</definedName>
    <definedName name="Construcao_do_acesso_a_Estacao_I">#REF!</definedName>
    <definedName name="Construcao_Escadaria_Apoio" localSheetId="2">'ANEXO BDI - OUTRAS OBRAS E SERV'!#REF!</definedName>
    <definedName name="Construcao_Escadaria_Apoio">#REF!</definedName>
    <definedName name="Contencao" localSheetId="2">'ANEXO BDI - OUTRAS OBRAS E SERV'!#REF!</definedName>
    <definedName name="Contencao">#REF!</definedName>
    <definedName name="Contencao_">#REF!</definedName>
    <definedName name="cpartida">#REF!</definedName>
    <definedName name="DATA">#REF!</definedName>
    <definedName name="Database">#REF!</definedName>
    <definedName name="ddfer">#REF!</definedName>
    <definedName name="Dem_Lavanderia">#REF!</definedName>
    <definedName name="Demolicao_de_Guarita_Consulta">#REF!</definedName>
    <definedName name="Demolicao_Lavanderia_Existente">#REF!</definedName>
    <definedName name="Descricao">#REF!</definedName>
    <definedName name="DEZEMBRO06">#REF!</definedName>
    <definedName name="DRENAGEM">#REF!</definedName>
    <definedName name="ds">#REF!</definedName>
    <definedName name="DTEE">#REF!</definedName>
    <definedName name="DTEP">#REF!</definedName>
    <definedName name="DTET">#REF!</definedName>
    <definedName name="DTFE">#REF!</definedName>
    <definedName name="DTFM">#REF!</definedName>
    <definedName name="DTL">#REF!</definedName>
    <definedName name="ELEMVS07">#REF!</definedName>
    <definedName name="ELEVATÓRIAS">#REF!</definedName>
    <definedName name="EMBAL">#REF!</definedName>
    <definedName name="Embalagem">#REF!</definedName>
    <definedName name="empolamento">'[1]DADOS COLETATO'!$I$41</definedName>
    <definedName name="ENG" localSheetId="2">'ANEXO BDI - OUTRAS OBRAS E SERV'!#REF!</definedName>
    <definedName name="ENG">#REF!</definedName>
    <definedName name="Escadaria" localSheetId="2">'ANEXO BDI - OUTRAS OBRAS E SERV'!#REF!</definedName>
    <definedName name="Escadaria">#REF!</definedName>
    <definedName name="ESCMAN" localSheetId="2">'ANEXO BDI - OUTRAS OBRAS E SERV'!#REF!</definedName>
    <definedName name="ESCMAN">#REF!</definedName>
    <definedName name="ESCRITÓRIO">#REF!</definedName>
    <definedName name="ESGOTO">#REF!</definedName>
    <definedName name="ESSENCIAIS">'[3]blocos ancoragem'!#REF!</definedName>
    <definedName name="Estacao_01" localSheetId="2">'ANEXO BDI - OUTRAS OBRAS E SERV'!#REF!</definedName>
    <definedName name="Estacao_01">#REF!</definedName>
    <definedName name="Estacao_02" localSheetId="2">'ANEXO BDI - OUTRAS OBRAS E SERV'!#REF!</definedName>
    <definedName name="Estacao_02">#REF!</definedName>
    <definedName name="Estacao_03" localSheetId="2">'ANEXO BDI - OUTRAS OBRAS E SERV'!#REF!</definedName>
    <definedName name="Estacao_03">#REF!</definedName>
    <definedName name="Estacao_04">#REF!</definedName>
    <definedName name="Estacao_05">#REF!</definedName>
    <definedName name="ETE">#REF!</definedName>
    <definedName name="Execucao_Fundacoes_Plano_Inclinado">#REF!</definedName>
    <definedName name="EXT">'[4]quadra poliesportiva'!#REF!</definedName>
    <definedName name="F" localSheetId="2">'ANEXO BDI - OUTRAS OBRAS E SERV'!#REF!</definedName>
    <definedName name="F">#REF!</definedName>
    <definedName name="FGV">[5]SCO0504!$B:$E</definedName>
    <definedName name="FGVC">[5]SCO0504!$A:$E</definedName>
    <definedName name="FGVC0504" localSheetId="2">'ANEXO BDI - OUTRAS OBRAS E SERV'!#REF!</definedName>
    <definedName name="FGVC0504">#REF!</definedName>
    <definedName name="FGVSER" localSheetId="2">'ANEXO BDI - OUTRAS OBRAS E SERV'!#REF!</definedName>
    <definedName name="FGVSER">#REF!</definedName>
    <definedName name="Fundacao_Plano_Inclinado" localSheetId="2">'ANEXO BDI - OUTRAS OBRAS E SERV'!#REF!</definedName>
    <definedName name="Fundacao_Plano_Inclinado">#REF!</definedName>
    <definedName name="hg">#REF!</definedName>
    <definedName name="hgh">#REF!</definedName>
    <definedName name="hgjf">#REF!</definedName>
    <definedName name="ICMS">#REF!</definedName>
    <definedName name="Implantacao_Consulta">#REF!</definedName>
    <definedName name="INTERCEPTORES___EMISSÁRIOS">#REF!</definedName>
    <definedName name="J">#REF!</definedName>
    <definedName name="K">#REF!</definedName>
    <definedName name="kjyfyu">#REF!</definedName>
    <definedName name="Kvenda">#REF!</definedName>
    <definedName name="LARGURA">#REF!</definedName>
    <definedName name="LINHAS_DE_RECALQUE">#REF!</definedName>
    <definedName name="LLHN">#REF!</definedName>
    <definedName name="m">#REF!</definedName>
    <definedName name="meiofio">'[1]DADOS COLETATO'!$E$12</definedName>
    <definedName name="Mob" localSheetId="2">'ANEXO BDI - OUTRAS OBRAS E SERV'!#REF!</definedName>
    <definedName name="Mob">#REF!</definedName>
    <definedName name="n" localSheetId="2">'ANEXO BDI - OUTRAS OBRAS E SERV'!#REF!</definedName>
    <definedName name="n">#REF!</definedName>
    <definedName name="NOME1" localSheetId="2">'ANEXO BDI - OUTRAS OBRAS E SERV'!#REF!</definedName>
    <definedName name="NOME1">#REF!</definedName>
    <definedName name="NOME2">#REF!</definedName>
    <definedName name="ORÇ">#REF!</definedName>
    <definedName name="OUTROS">#REF!</definedName>
    <definedName name="Paisagismo_Consulta">#REF!</definedName>
    <definedName name="PAVIMENTAÇÃO">#REF!</definedName>
    <definedName name="PBR">#REF!</definedName>
    <definedName name="pedreira">'[1]DADOS COLETATO'!$C$41</definedName>
    <definedName name="pesobrita">'[1]DADOS COLETATO'!$I$42</definedName>
    <definedName name="pesoespecifico">'[1]DADOS COLETATO'!$I$40</definedName>
    <definedName name="plani" localSheetId="2">'ANEXO BDI - OUTRAS OBRAS E SERV'!#REF!</definedName>
    <definedName name="plani">#REF!</definedName>
    <definedName name="Poste" localSheetId="2">'ANEXO BDI - OUTRAS OBRAS E SERV'!#REF!</definedName>
    <definedName name="Poste">#REF!</definedName>
    <definedName name="Preco" localSheetId="2">'ANEXO BDI - OUTRAS OBRAS E SERV'!#REF!</definedName>
    <definedName name="Preco">#REF!</definedName>
    <definedName name="Preparo_Terreno">#REF!</definedName>
    <definedName name="Print_Area">#REF!</definedName>
    <definedName name="Print_Area_0" localSheetId="2">'ANEXO BDI - OUTRAS OBRAS E SERV'!$A$3:$D$44</definedName>
    <definedName name="Print_Area_0_0" localSheetId="2">'ANEXO BDI - OUTRAS OBRAS E SERV'!$A$3:$D$44</definedName>
    <definedName name="Print_Area_0_0_0" localSheetId="2">'ANEXO BDI - OUTRAS OBRAS E SERV'!$A$3:$D$44</definedName>
    <definedName name="PROJ" localSheetId="2">'ANEXO BDI - OUTRAS OBRAS E SERV'!#REF!</definedName>
    <definedName name="PROJ">#REF!</definedName>
    <definedName name="PRT" localSheetId="2">'ANEXO BDI - OUTRAS OBRAS E SERV'!#REF!</definedName>
    <definedName name="PRT">#REF!</definedName>
    <definedName name="pv" localSheetId="2">'ANEXO BDI - OUTRAS OBRAS E SERV'!#REF!</definedName>
    <definedName name="pv">#REF!</definedName>
    <definedName name="ralo">'[1]DADOS COLETATO'!$C$29</definedName>
    <definedName name="REDE_COLETORA" localSheetId="2">'ANEXO BDI - OUTRAS OBRAS E SERV'!#REF!</definedName>
    <definedName name="REDE_COLETORA">#REF!</definedName>
    <definedName name="REF_SERVICOS" localSheetId="2">'ANEXO BDI - OUTRAS OBRAS E SERV'!#REF!</definedName>
    <definedName name="REF_SERVICOS">#REF!</definedName>
    <definedName name="RESP." localSheetId="2">'ANEXO BDI - OUTRAS OBRAS E SERV'!#REF!</definedName>
    <definedName name="RESP.">#REF!</definedName>
    <definedName name="RTL">#REF!</definedName>
    <definedName name="SDS">#REF!</definedName>
    <definedName name="Sede_Detran_Consulta">#REF!</definedName>
    <definedName name="SERVIÇOS_COMPLEMENTARES">#REF!</definedName>
    <definedName name="SERVIÇOS_PRELIMINARES">#REF!</definedName>
    <definedName name="Servicos_Tecnicos">#REF!</definedName>
    <definedName name="Servicos_Tecnicos_">#REF!</definedName>
    <definedName name="TEC">#REF!</definedName>
    <definedName name="TEC.">#REF!</definedName>
    <definedName name="TERRAPLENAGEM">#REF!</definedName>
    <definedName name="urb" localSheetId="2">'ANEXO BDI - OUTRAS OBRAS E SERV'!#REF!</definedName>
    <definedName name="urb">#REF!</definedName>
    <definedName name="usina">'[1]DADOS COLETATO'!$C$42</definedName>
    <definedName name="volumedebrita">'[1]DADOS COLETATO'!$I$10</definedName>
    <definedName name="volumedecorte">'[1]DADOS COLETATO'!$I$9</definedName>
    <definedName name="volumedepv">'[1]DADOS COLETATO'!$I$11</definedName>
    <definedName name="XXX010160100" localSheetId="2">'ANEXO BDI - OUTRAS OBRAS E SERV'!#REF!</definedName>
    <definedName name="XXX010160100">#REF!</definedName>
    <definedName name="zero" localSheetId="2">'ANEXO BDI - OUTRAS OBRAS E SERV'!#REF!</definedName>
    <definedName name="zero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27" l="1"/>
  <c r="O17" i="31" l="1"/>
  <c r="O16" i="31"/>
  <c r="F17" i="31"/>
  <c r="E17" i="31"/>
  <c r="E16" i="31"/>
  <c r="R45" i="27" l="1"/>
  <c r="D21" i="27"/>
  <c r="D20" i="27"/>
  <c r="D35" i="27"/>
  <c r="D31" i="27"/>
  <c r="D33" i="27" s="1"/>
  <c r="D34" i="27" s="1"/>
  <c r="O14" i="31"/>
  <c r="S27" i="27"/>
  <c r="R27" i="27"/>
  <c r="S26" i="27"/>
  <c r="R26" i="27"/>
  <c r="T27" i="27" l="1"/>
  <c r="T26" i="27"/>
  <c r="R16" i="27"/>
  <c r="S13" i="27"/>
  <c r="D17" i="27" l="1"/>
  <c r="D22" i="27" s="1"/>
  <c r="R21" i="27"/>
  <c r="R20" i="27"/>
  <c r="D19" i="27"/>
  <c r="R19" i="27" s="1"/>
  <c r="D18" i="27"/>
  <c r="R18" i="27" s="1"/>
  <c r="S17" i="27"/>
  <c r="S16" i="27"/>
  <c r="T16" i="27" s="1"/>
  <c r="R13" i="27"/>
  <c r="T13" i="27" s="1"/>
  <c r="S23" i="27"/>
  <c r="S22" i="27"/>
  <c r="S21" i="27"/>
  <c r="S20" i="27"/>
  <c r="S19" i="27"/>
  <c r="S18" i="27"/>
  <c r="R17" i="27" l="1"/>
  <c r="T18" i="27"/>
  <c r="T20" i="27"/>
  <c r="T21" i="27"/>
  <c r="T17" i="27"/>
  <c r="T19" i="27"/>
  <c r="S12" i="27"/>
  <c r="R12" i="27"/>
  <c r="T12" i="27" l="1"/>
  <c r="R22" i="27"/>
  <c r="T22" i="27" s="1"/>
  <c r="D23" i="27"/>
  <c r="R23" i="27" s="1"/>
  <c r="T23" i="27" s="1"/>
  <c r="S5" i="27"/>
  <c r="S6" i="27"/>
  <c r="S7" i="27"/>
  <c r="S8" i="27"/>
  <c r="S41" i="27"/>
  <c r="S42" i="27"/>
  <c r="R5" i="27"/>
  <c r="R6" i="27"/>
  <c r="R7" i="27"/>
  <c r="R41" i="27"/>
  <c r="R42" i="27"/>
  <c r="S4" i="27"/>
  <c r="R4" i="27"/>
  <c r="R8" i="27"/>
  <c r="T42" i="27" l="1"/>
  <c r="T5" i="27"/>
  <c r="T7" i="27"/>
  <c r="T6" i="27"/>
  <c r="T8" i="27"/>
  <c r="T41" i="27"/>
  <c r="T4" i="27"/>
  <c r="O12" i="31"/>
  <c r="O10" i="31"/>
  <c r="O8" i="31"/>
  <c r="O6" i="31"/>
  <c r="T47" i="27" l="1"/>
  <c r="D25" i="30"/>
  <c r="D21" i="30"/>
  <c r="D14" i="30"/>
  <c r="D10" i="30"/>
  <c r="D27" i="30" l="1"/>
  <c r="H1" i="27" s="1"/>
  <c r="F45" i="27" s="1"/>
  <c r="F34" i="27" l="1"/>
  <c r="G34" i="27" s="1"/>
  <c r="H34" i="27" s="1"/>
  <c r="F35" i="27"/>
  <c r="G35" i="27" s="1"/>
  <c r="H35" i="27" s="1"/>
  <c r="F33" i="27"/>
  <c r="G33" i="27" s="1"/>
  <c r="H33" i="27" s="1"/>
  <c r="F36" i="27"/>
  <c r="G36" i="27" s="1"/>
  <c r="H36" i="27" s="1"/>
  <c r="F37" i="27"/>
  <c r="G37" i="27" s="1"/>
  <c r="H37" i="27" s="1"/>
  <c r="F38" i="27"/>
  <c r="G38" i="27" s="1"/>
  <c r="H38" i="27" s="1"/>
  <c r="F31" i="27"/>
  <c r="G31" i="27" s="1"/>
  <c r="H31" i="27" s="1"/>
  <c r="F28" i="27"/>
  <c r="G28" i="27" s="1"/>
  <c r="H28" i="27" s="1"/>
  <c r="F29" i="27"/>
  <c r="G29" i="27" s="1"/>
  <c r="H29" i="27" s="1"/>
  <c r="F30" i="27"/>
  <c r="G30" i="27" s="1"/>
  <c r="H30" i="27" s="1"/>
  <c r="F32" i="27"/>
  <c r="G32" i="27" s="1"/>
  <c r="H32" i="27" s="1"/>
  <c r="F27" i="27"/>
  <c r="G27" i="27" s="1"/>
  <c r="H27" i="27" s="1"/>
  <c r="F26" i="27"/>
  <c r="G26" i="27" s="1"/>
  <c r="H26" i="27" s="1"/>
  <c r="F17" i="27"/>
  <c r="G17" i="27" s="1"/>
  <c r="H17" i="27" s="1"/>
  <c r="F16" i="27"/>
  <c r="G16" i="27" s="1"/>
  <c r="H16" i="27" s="1"/>
  <c r="F20" i="27"/>
  <c r="G20" i="27" s="1"/>
  <c r="H20" i="27" s="1"/>
  <c r="F21" i="27"/>
  <c r="G21" i="27" s="1"/>
  <c r="H21" i="27" s="1"/>
  <c r="F22" i="27"/>
  <c r="G22" i="27" s="1"/>
  <c r="H22" i="27" s="1"/>
  <c r="F23" i="27"/>
  <c r="G23" i="27" s="1"/>
  <c r="H23" i="27" s="1"/>
  <c r="F13" i="27"/>
  <c r="G13" i="27" s="1"/>
  <c r="H13" i="27" s="1"/>
  <c r="F12" i="27"/>
  <c r="G12" i="27" s="1"/>
  <c r="H12" i="27" s="1"/>
  <c r="F18" i="27"/>
  <c r="G18" i="27" s="1"/>
  <c r="H18" i="27" s="1"/>
  <c r="F19" i="27"/>
  <c r="G19" i="27" s="1"/>
  <c r="H19" i="27" s="1"/>
  <c r="F42" i="27"/>
  <c r="G42" i="27" s="1"/>
  <c r="H42" i="27" s="1"/>
  <c r="F5" i="27"/>
  <c r="F41" i="27"/>
  <c r="G41" i="27" s="1"/>
  <c r="H41" i="27" s="1"/>
  <c r="F8" i="27"/>
  <c r="G8" i="27" s="1"/>
  <c r="H8" i="27" s="1"/>
  <c r="F9" i="27"/>
  <c r="F6" i="27"/>
  <c r="F7" i="27"/>
  <c r="F4" i="27"/>
  <c r="J236" i="20"/>
  <c r="J235" i="20"/>
  <c r="J234" i="20"/>
  <c r="J233" i="20"/>
  <c r="J232" i="20"/>
  <c r="J231" i="20"/>
  <c r="J230" i="20"/>
  <c r="J229" i="20"/>
  <c r="J228" i="20"/>
  <c r="J227" i="20"/>
  <c r="J226" i="20"/>
  <c r="J225" i="20"/>
  <c r="J224" i="20"/>
  <c r="J223" i="20"/>
  <c r="J222" i="20"/>
  <c r="J221" i="20"/>
  <c r="J220" i="20"/>
  <c r="J219" i="20"/>
  <c r="J218" i="20"/>
  <c r="J217" i="20"/>
  <c r="J216" i="20"/>
  <c r="J215" i="20"/>
  <c r="J214" i="20"/>
  <c r="J213" i="20"/>
  <c r="J212" i="20"/>
  <c r="J211" i="20"/>
  <c r="J210" i="20"/>
  <c r="J209" i="20"/>
  <c r="J208" i="20"/>
  <c r="J207" i="20"/>
  <c r="J206" i="20"/>
  <c r="J205" i="20"/>
  <c r="J204" i="20"/>
  <c r="J203" i="20"/>
  <c r="J202" i="20"/>
  <c r="J201" i="20"/>
  <c r="J200" i="20"/>
  <c r="J199" i="20"/>
  <c r="J198" i="20"/>
  <c r="J192" i="20"/>
  <c r="J191" i="20"/>
  <c r="J183" i="20"/>
  <c r="J180" i="20"/>
  <c r="J181" i="20"/>
  <c r="J179" i="20"/>
  <c r="J178" i="20"/>
  <c r="J177" i="20"/>
  <c r="J176" i="20"/>
  <c r="J175" i="20"/>
  <c r="H43" i="27" l="1"/>
  <c r="H14" i="27"/>
  <c r="E9" i="31" s="1"/>
  <c r="H24" i="27"/>
  <c r="H39" i="27"/>
  <c r="E13" i="31" s="1"/>
  <c r="F13" i="31" s="1"/>
  <c r="G7" i="27"/>
  <c r="H7" i="27" s="1"/>
  <c r="G5" i="27"/>
  <c r="H5" i="27" s="1"/>
  <c r="G4" i="27"/>
  <c r="J184" i="20"/>
  <c r="E15" i="31" l="1"/>
  <c r="F15" i="31" s="1"/>
  <c r="O15" i="31" s="1"/>
  <c r="E9" i="27"/>
  <c r="G9" i="27" s="1"/>
  <c r="H9" i="27" s="1"/>
  <c r="G6" i="27"/>
  <c r="H6" i="27" s="1"/>
  <c r="H4" i="27"/>
  <c r="J167" i="20"/>
  <c r="J147" i="20"/>
  <c r="J145" i="20"/>
  <c r="J146" i="20"/>
  <c r="J166" i="20"/>
  <c r="J165" i="20"/>
  <c r="J164" i="20"/>
  <c r="J155" i="20"/>
  <c r="J154" i="20"/>
  <c r="J153" i="20"/>
  <c r="J133" i="20"/>
  <c r="J134" i="20"/>
  <c r="J135" i="20"/>
  <c r="J136" i="20"/>
  <c r="J123" i="20"/>
  <c r="J124" i="20"/>
  <c r="J108" i="20"/>
  <c r="J107" i="20"/>
  <c r="J62" i="20"/>
  <c r="J59" i="20"/>
  <c r="J60" i="20"/>
  <c r="J61" i="20"/>
  <c r="J49" i="20"/>
  <c r="J144" i="20"/>
  <c r="N143" i="20"/>
  <c r="O143" i="20" s="1"/>
  <c r="J143" i="20"/>
  <c r="J142" i="20"/>
  <c r="J132" i="20"/>
  <c r="N131" i="20"/>
  <c r="O131" i="20" s="1"/>
  <c r="J131" i="20"/>
  <c r="J130" i="20"/>
  <c r="J122" i="20"/>
  <c r="N121" i="20"/>
  <c r="O121" i="20" s="1"/>
  <c r="J121" i="20"/>
  <c r="J120" i="20"/>
  <c r="J106" i="20"/>
  <c r="N105" i="20"/>
  <c r="O105" i="20" s="1"/>
  <c r="J105" i="20"/>
  <c r="J104" i="20"/>
  <c r="J58" i="20"/>
  <c r="N57" i="20"/>
  <c r="O57" i="20" s="1"/>
  <c r="J57" i="20"/>
  <c r="J56" i="20"/>
  <c r="J41" i="20"/>
  <c r="J42" i="20"/>
  <c r="J43" i="20"/>
  <c r="J44" i="20"/>
  <c r="J45" i="20"/>
  <c r="J46" i="20"/>
  <c r="J47" i="20"/>
  <c r="J48" i="20"/>
  <c r="J50" i="20"/>
  <c r="J18" i="20"/>
  <c r="J19" i="20"/>
  <c r="J20" i="20"/>
  <c r="J21" i="20"/>
  <c r="J22" i="20"/>
  <c r="J23" i="20"/>
  <c r="J24" i="20"/>
  <c r="J40" i="20"/>
  <c r="J17" i="20"/>
  <c r="J304" i="20"/>
  <c r="J302" i="20"/>
  <c r="I296" i="20"/>
  <c r="N296" i="20" s="1"/>
  <c r="I295" i="20"/>
  <c r="N295" i="20" s="1"/>
  <c r="I293" i="20"/>
  <c r="N293" i="20" s="1"/>
  <c r="N292" i="20" s="1"/>
  <c r="N287" i="20"/>
  <c r="O287" i="20" s="1"/>
  <c r="N286" i="20"/>
  <c r="N284" i="20"/>
  <c r="O284" i="20" s="1"/>
  <c r="N282" i="20"/>
  <c r="O280" i="20"/>
  <c r="O275" i="20"/>
  <c r="O269" i="20"/>
  <c r="O266" i="20"/>
  <c r="N264" i="20"/>
  <c r="N263" i="20"/>
  <c r="O251" i="20"/>
  <c r="N250" i="20"/>
  <c r="N240" i="20"/>
  <c r="N233" i="20"/>
  <c r="N232" i="20" s="1"/>
  <c r="O232" i="20" s="1"/>
  <c r="N228" i="20"/>
  <c r="O228" i="20" s="1"/>
  <c r="N220" i="20"/>
  <c r="O220" i="20" s="1"/>
  <c r="N213" i="20"/>
  <c r="O213" i="20" s="1"/>
  <c r="N207" i="20"/>
  <c r="O207" i="20" s="1"/>
  <c r="N190" i="20"/>
  <c r="O190" i="20" s="1"/>
  <c r="N179" i="20"/>
  <c r="N178" i="20" s="1"/>
  <c r="O178" i="20" s="1"/>
  <c r="O165" i="20"/>
  <c r="O241" i="20" s="1"/>
  <c r="N164" i="20"/>
  <c r="N147" i="20"/>
  <c r="O152" i="20" s="1"/>
  <c r="N125" i="20"/>
  <c r="O117" i="20"/>
  <c r="N87" i="20"/>
  <c r="N72" i="20"/>
  <c r="N67" i="20"/>
  <c r="N66" i="20"/>
  <c r="N65" i="20"/>
  <c r="N61" i="20"/>
  <c r="N60" i="20" s="1"/>
  <c r="N50" i="20"/>
  <c r="N46" i="20"/>
  <c r="N44" i="20"/>
  <c r="N43" i="20" s="1"/>
  <c r="N41" i="20"/>
  <c r="N17" i="20"/>
  <c r="N16" i="20" s="1"/>
  <c r="L16" i="20"/>
  <c r="L297" i="20" s="1"/>
  <c r="J168" i="20" l="1"/>
  <c r="J125" i="20"/>
  <c r="J137" i="20"/>
  <c r="J148" i="20"/>
  <c r="J109" i="20"/>
  <c r="J63" i="20"/>
  <c r="N103" i="20"/>
  <c r="N102" i="20" s="1"/>
  <c r="N141" i="20"/>
  <c r="O142" i="20" s="1"/>
  <c r="J35" i="20"/>
  <c r="J51" i="20"/>
  <c r="N129" i="20"/>
  <c r="N128" i="20" s="1"/>
  <c r="N146" i="20"/>
  <c r="O147" i="20" s="1"/>
  <c r="N119" i="20"/>
  <c r="O120" i="20" s="1"/>
  <c r="N55" i="20"/>
  <c r="O56" i="20" s="1"/>
  <c r="O50" i="20"/>
  <c r="N33" i="20"/>
  <c r="N89" i="20"/>
  <c r="N88" i="20" s="1"/>
  <c r="N64" i="20"/>
  <c r="N63" i="20" s="1"/>
  <c r="O66" i="20" s="1"/>
  <c r="N231" i="20"/>
  <c r="O179" i="20" s="1"/>
  <c r="N85" i="20"/>
  <c r="N45" i="20"/>
  <c r="O46" i="20" s="1"/>
  <c r="N32" i="20"/>
  <c r="N95" i="20"/>
  <c r="N71" i="20"/>
  <c r="O72" i="20" s="1"/>
  <c r="N79" i="20"/>
  <c r="N77" i="20" s="1"/>
  <c r="O17" i="20"/>
  <c r="N294" i="20"/>
  <c r="O296" i="20" s="1"/>
  <c r="N75" i="20"/>
  <c r="O16" i="20"/>
  <c r="N90" i="20"/>
  <c r="N265" i="20"/>
  <c r="N262" i="20" s="1"/>
  <c r="O61" i="20"/>
  <c r="O233" i="20"/>
  <c r="E11" i="31" l="1"/>
  <c r="F9" i="31"/>
  <c r="O104" i="20"/>
  <c r="N138" i="20"/>
  <c r="N137" i="20" s="1"/>
  <c r="O130" i="20"/>
  <c r="O134" i="20"/>
  <c r="N116" i="20"/>
  <c r="N101" i="20" s="1"/>
  <c r="O125" i="20" s="1"/>
  <c r="O90" i="20"/>
  <c r="N261" i="20"/>
  <c r="O262" i="20"/>
  <c r="O264" i="20"/>
  <c r="O263" i="20"/>
  <c r="O295" i="20"/>
  <c r="N83" i="20"/>
  <c r="O85" i="20" s="1"/>
  <c r="N291" i="20"/>
  <c r="N29" i="20"/>
  <c r="K290" i="20"/>
  <c r="N42" i="20"/>
  <c r="N74" i="20"/>
  <c r="O75" i="20" s="1"/>
  <c r="K17" i="20"/>
  <c r="O265" i="20"/>
  <c r="N99" i="20"/>
  <c r="N34" i="20"/>
  <c r="N96" i="20"/>
  <c r="N94" i="20" s="1"/>
  <c r="N100" i="20"/>
  <c r="N97" i="20" s="1"/>
  <c r="N82" i="20"/>
  <c r="F11" i="31" l="1"/>
  <c r="O13" i="31"/>
  <c r="O9" i="31"/>
  <c r="O138" i="20"/>
  <c r="O139" i="20"/>
  <c r="O102" i="20"/>
  <c r="O116" i="20"/>
  <c r="O99" i="20"/>
  <c r="N21" i="20"/>
  <c r="O29" i="20" s="1"/>
  <c r="O86" i="20"/>
  <c r="O84" i="20"/>
  <c r="O87" i="20"/>
  <c r="N39" i="20"/>
  <c r="N80" i="20"/>
  <c r="O34" i="20"/>
  <c r="O40" i="20" l="1"/>
  <c r="N37" i="20"/>
  <c r="O41" i="20"/>
  <c r="N20" i="20"/>
  <c r="O42" i="20"/>
  <c r="J309" i="20"/>
  <c r="J305" i="20"/>
  <c r="O36" i="20"/>
  <c r="O33" i="20"/>
  <c r="O32" i="20"/>
  <c r="O82" i="20"/>
  <c r="N70" i="20"/>
  <c r="O80" i="20" s="1"/>
  <c r="O11" i="31" l="1"/>
  <c r="O55" i="20"/>
  <c r="O103" i="20"/>
  <c r="O141" i="20"/>
  <c r="O129" i="20"/>
  <c r="O119" i="20"/>
  <c r="O68" i="20"/>
  <c r="M290" i="20"/>
  <c r="N290" i="20" s="1"/>
  <c r="O45" i="20"/>
  <c r="O60" i="20"/>
  <c r="O63" i="20"/>
  <c r="O21" i="20"/>
  <c r="O92" i="20"/>
  <c r="O88" i="20"/>
  <c r="O71" i="20"/>
  <c r="O77" i="20"/>
  <c r="O94" i="20"/>
  <c r="O83" i="20"/>
  <c r="O97" i="20"/>
  <c r="O74" i="20"/>
  <c r="O39" i="20"/>
  <c r="N289" i="20" l="1"/>
  <c r="N297" i="20" l="1"/>
  <c r="O290" i="20"/>
  <c r="O297" i="20" l="1"/>
  <c r="O250" i="20"/>
  <c r="O137" i="20"/>
  <c r="O164" i="20"/>
  <c r="O128" i="20"/>
  <c r="O286" i="20"/>
  <c r="O282" i="20"/>
  <c r="O231" i="20"/>
  <c r="O101" i="20"/>
  <c r="O146" i="20"/>
  <c r="O240" i="20"/>
  <c r="O261" i="20"/>
  <c r="O291" i="20"/>
  <c r="O20" i="20"/>
  <c r="O70" i="20"/>
  <c r="O37" i="20"/>
  <c r="O289" i="20"/>
  <c r="H10" i="27" l="1"/>
  <c r="E45" i="27" l="1"/>
  <c r="E7" i="31"/>
  <c r="F7" i="31" s="1"/>
  <c r="O7" i="31" s="1"/>
  <c r="G45" i="27" l="1"/>
  <c r="H45" i="27" s="1"/>
  <c r="S45" i="27"/>
  <c r="T45" i="27" s="1"/>
  <c r="O39" i="31"/>
  <c r="H46" i="27" l="1"/>
  <c r="F40" i="31"/>
  <c r="F39" i="31" l="1"/>
  <c r="F41" i="31" s="1"/>
  <c r="K31" i="27" l="1"/>
  <c r="K35" i="27"/>
  <c r="K36" i="27"/>
  <c r="K37" i="27"/>
  <c r="K38" i="27"/>
  <c r="K33" i="27"/>
  <c r="K34" i="27"/>
  <c r="K39" i="27"/>
  <c r="E12" i="31" s="1"/>
  <c r="K9" i="27"/>
  <c r="K32" i="27"/>
  <c r="E6" i="31"/>
  <c r="K6" i="27"/>
  <c r="K12" i="27"/>
  <c r="K22" i="27"/>
  <c r="K19" i="27"/>
  <c r="K5" i="27"/>
  <c r="K29" i="27"/>
  <c r="K28" i="27"/>
  <c r="K30" i="27"/>
  <c r="K43" i="27"/>
  <c r="K21" i="27"/>
  <c r="K13" i="27"/>
  <c r="K23" i="27"/>
  <c r="K20" i="27"/>
  <c r="K27" i="27"/>
  <c r="K26" i="27"/>
  <c r="K24" i="27"/>
  <c r="E10" i="31" s="1"/>
  <c r="K14" i="27"/>
  <c r="E8" i="31" s="1"/>
  <c r="K18" i="27"/>
  <c r="K41" i="27"/>
  <c r="K16" i="27"/>
  <c r="K48" i="27"/>
  <c r="E14" i="31" s="1"/>
  <c r="K10" i="27"/>
  <c r="K17" i="27"/>
  <c r="K4" i="27"/>
  <c r="K7" i="27"/>
  <c r="K8" i="27"/>
  <c r="K42" i="27"/>
  <c r="K45" i="27"/>
  <c r="K46" i="27"/>
</calcChain>
</file>

<file path=xl/sharedStrings.xml><?xml version="1.0" encoding="utf-8"?>
<sst xmlns="http://schemas.openxmlformats.org/spreadsheetml/2006/main" count="943" uniqueCount="427">
  <si>
    <t>OCULTAR</t>
  </si>
  <si>
    <t>PREDIO DA PREFEITURA MUNICIPAL DE AMPARO DO SERRA - MG</t>
  </si>
  <si>
    <t>OBRA/SERVIÇO: REFORMA DA SEDE DA PREFEITURA MUNICIPAL DE AMPARO DO SERRA</t>
  </si>
  <si>
    <t>BDI =</t>
  </si>
  <si>
    <t>REFERÊNCIAS:  SINAPI 12/2023 - SETOP 08/2023 - ORSE 04/2022 11/2019</t>
  </si>
  <si>
    <t>DESCRIÇÃO</t>
  </si>
  <si>
    <t>UN</t>
  </si>
  <si>
    <t>BDI</t>
  </si>
  <si>
    <t>PREÇO</t>
  </si>
  <si>
    <t>INC.</t>
  </si>
  <si>
    <t>TOTAL - OBRAS</t>
  </si>
  <si>
    <t>-</t>
  </si>
  <si>
    <t>und</t>
  </si>
  <si>
    <t>m²</t>
  </si>
  <si>
    <t>m</t>
  </si>
  <si>
    <t>h</t>
  </si>
  <si>
    <t>RO-41294</t>
  </si>
  <si>
    <t>RO-41295</t>
  </si>
  <si>
    <t>RO-41296</t>
  </si>
  <si>
    <t>RO-41297</t>
  </si>
  <si>
    <t>RO-41298</t>
  </si>
  <si>
    <t>RO-41299</t>
  </si>
  <si>
    <t>RO-41300</t>
  </si>
  <si>
    <t>RO - 41293</t>
  </si>
  <si>
    <t>15</t>
  </si>
  <si>
    <t xml:space="preserve">	SERVIÇOS COMPLEMENTARES - PAVIMENTAÇÃO</t>
  </si>
  <si>
    <t xml:space="preserve">	15.05*</t>
  </si>
  <si>
    <t xml:space="preserve">	REVESTIMENTO EM ALVENARIA POLIEDRICA</t>
  </si>
  <si>
    <t>15.05.01*</t>
  </si>
  <si>
    <t>COM COLCHÃO DE AREIA</t>
  </si>
  <si>
    <t xml:space="preserve">	15.07*</t>
  </si>
  <si>
    <t xml:space="preserve">	PAVIMENTO INTERTRAVADO EM BLOCO DE CONCRETO</t>
  </si>
  <si>
    <t xml:space="preserve">	15.07.03*</t>
  </si>
  <si>
    <t>REMOÇÃO E RECONSTRUÇÃO REVESTIMENTO EM ALVENARIA POLIEDRICA</t>
  </si>
  <si>
    <t xml:space="preserve">	15.07.04*</t>
  </si>
  <si>
    <t>EXECUÇÃO DE PAVIMENTO INTERTRAVADO EM BLOCO SEXTAVADO, ESPESSURA 8CM, FCK 35MPA, INCLUINDO FORNECIMENTO E TRANSPORTE DE TODOS OS MATERIAIS E COLCHÃO DE ASSENTAMENTO COM ESPESSURA 6CM</t>
  </si>
  <si>
    <t>RESUMO</t>
  </si>
  <si>
    <t>PROPOSTA VENCEDORA</t>
  </si>
  <si>
    <t>PROPOSTA REEQUILIBRADA</t>
  </si>
  <si>
    <t>PERCENTUAL DO REEQUILIBRIO ECONOMICO</t>
  </si>
  <si>
    <t>PERCENTUAL ADMINISTRAÇÃO LOCAL</t>
  </si>
  <si>
    <t>VALOR TOTAL ADMINISTRAÇÃO LOCAL</t>
  </si>
  <si>
    <t>VALOR REAJUSTADO (REEQ. ECON. + ADM. LOCAL)</t>
  </si>
  <si>
    <t>COD.</t>
  </si>
  <si>
    <t>TOTAL</t>
  </si>
  <si>
    <t xml:space="preserve"> COMPOSIÇÕES UNITARIAS </t>
  </si>
  <si>
    <t xml:space="preserve"> BANCO</t>
  </si>
  <si>
    <t>INSUMO (I) / COMPOSIÇÃO (C)</t>
  </si>
  <si>
    <t>UNIDADE</t>
  </si>
  <si>
    <t>QUAN.</t>
  </si>
  <si>
    <t>PREÇO TOTAL</t>
  </si>
  <si>
    <t>SINAPI</t>
  </si>
  <si>
    <t>C</t>
  </si>
  <si>
    <t xml:space="preserve">	  88264</t>
  </si>
  <si>
    <t>ELETRICISTA COM ENCARGOS COMPLEMENTARES</t>
  </si>
  <si>
    <t>88247</t>
  </si>
  <si>
    <t>AUXILIAR DE ELETRICISTA COM ENCARGOS COMPLEMENTARES</t>
  </si>
  <si>
    <t>1,0</t>
  </si>
  <si>
    <t>I</t>
  </si>
  <si>
    <t>00038099</t>
  </si>
  <si>
    <t>SUPORTE DE FIXACAO PARA ESPELHO / PLACA 4" X 2", PARA 3 MODULOS, PARA INSTALACAO DE TOMADAS E INTERRUPTORES (SOMENTE SUPORTE)</t>
  </si>
  <si>
    <t>00038112</t>
  </si>
  <si>
    <t>INTERRUPTOR SIMPLES 10A, 250V (APENAS MODULO)</t>
  </si>
  <si>
    <t>SBC</t>
  </si>
  <si>
    <t>018036</t>
  </si>
  <si>
    <t>TAMPA 3 MODULOS JUNTOS CONDULETE TOP 1/2" E 3/4"</t>
  </si>
  <si>
    <t>UNI.</t>
  </si>
  <si>
    <t xml:space="preserve">	   88264</t>
  </si>
  <si>
    <t>00038113</t>
  </si>
  <si>
    <t>INTERRUPTOR PARALELO 10A, 250V (APENAS MODULO)</t>
  </si>
  <si>
    <t>018030</t>
  </si>
  <si>
    <t>TAMPA 2 MODULOS CONDULETE TOP 1/2" E 3/4"</t>
  </si>
  <si>
    <t xml:space="preserve">INTERRUPTOR SIMPLES 10A, 250V (APENAS MODULO)	</t>
  </si>
  <si>
    <t>88264</t>
  </si>
  <si>
    <t>2,0</t>
  </si>
  <si>
    <t>1</t>
  </si>
  <si>
    <t>00038101</t>
  </si>
  <si>
    <t>TOMADA 2P+T 10A, 250V (APENAS MODULO)</t>
  </si>
  <si>
    <t>SINAP</t>
  </si>
  <si>
    <t>00038102</t>
  </si>
  <si>
    <t>TOMADA 2P+T 20A, 250V (APENAS MODULO)</t>
  </si>
  <si>
    <t xml:space="preserve">	018030</t>
  </si>
  <si>
    <t xml:space="preserve">	88264</t>
  </si>
  <si>
    <t xml:space="preserve">	00007543</t>
  </si>
  <si>
    <t>RO - 41304</t>
  </si>
  <si>
    <t>PEITORIL/ SOLEIRA EM MARMORE, POLIDO, BRANCO COMUM, L= *25* CM, E= *3* CM, CORTE RETO</t>
  </si>
  <si>
    <t>M</t>
  </si>
  <si>
    <t>00010506</t>
  </si>
  <si>
    <t>VIDRO TEMPERADO INCOLOR E = 8 MM, SEM COLOCACAO</t>
  </si>
  <si>
    <t>88316</t>
  </si>
  <si>
    <t>88325</t>
  </si>
  <si>
    <t>SERVENTE COM ENCARGOS COMPLEMENTARES</t>
  </si>
  <si>
    <t>VIDRACEIRO COM ENCARGOS COMPLEMENTARES</t>
  </si>
  <si>
    <t>TRILHO PANTOGRAFICO CONCAVO, TIPO U, EM ALUMINIO, COM DIMENSOES DE APROX *35 X 35* MM, PARA ROLDANA DE PORTA DE CORRER</t>
  </si>
  <si>
    <t>00011581</t>
  </si>
  <si>
    <t>PERFIL EM ALUMINIO, FORMATO U, ABAS IGUAIS, LARGURA DE 25,4 MM (1"), ESPESSURA DE 2,38 MM (3/32") E PESO LINEAR DE APROXIMADAMENTE 0,460 KG/M</t>
  </si>
  <si>
    <t>00000585</t>
  </si>
  <si>
    <t>KG</t>
  </si>
  <si>
    <t>1,104</t>
  </si>
  <si>
    <t>SILICONE ACETICO USO GERAL INCOLOR 280 G</t>
  </si>
  <si>
    <t>00039961</t>
  </si>
  <si>
    <t>PERFIL DE BORRACHA EPDM MACICO *12 X 15* MM PARA ESQUADRIAS</t>
  </si>
  <si>
    <t>00020259</t>
  </si>
  <si>
    <t>cj</t>
  </si>
  <si>
    <t>FECHO / FECHADURA COM PUXADOR CONCHA, COM TRANCA TIPO TRAVA, PARA JANELA / PORTA DE CORRER (INCLUI TESTA, FECHADURA, PUXADOR) - COMPLETA</t>
  </si>
  <si>
    <t>00038165</t>
  </si>
  <si>
    <t>MARMORISTA/GRANITEIRO COM ENCARGOS COMPLEMENTARES</t>
  </si>
  <si>
    <t>RO-41306</t>
  </si>
  <si>
    <t>0,006</t>
  </si>
  <si>
    <t>H</t>
  </si>
  <si>
    <t>88274</t>
  </si>
  <si>
    <t>SERRA CIRCULAR DE BANCADA COM MOTOR ELÉTRICO POTÊNCIA DE 5HP, COM COIFA PARA DISCO 10" - CHP DIURNO. AF_08/2015</t>
  </si>
  <si>
    <t>0.419</t>
  </si>
  <si>
    <t>CHP</t>
  </si>
  <si>
    <t>91692</t>
  </si>
  <si>
    <t>00004825</t>
  </si>
  <si>
    <t>RO-41307</t>
  </si>
  <si>
    <t>SETOP</t>
  </si>
  <si>
    <t>ED-20714</t>
  </si>
  <si>
    <t>CAIXA DE INSPEÇÃO EM CONCRETO, TIPO "ZA", PADRÃO CEMIG, COMPRIMENTO 28CM, LARGURA 28CM, ALTURA 40CM, ESPESSURA 3CM EM CONCRETO ESTRUTURAL, PREPARADO</t>
  </si>
  <si>
    <t>CAIXA DE INSPEÇÃO EM CONCRETO, TIPO "ZB", PADRÃO CEMIG, COMPRIMENTO 52CM, LARGURA 44CM, ALTURA 70CM, ESPESSURA 7CM EM CONCRETO ESTRUTURAL, PREPARADO</t>
  </si>
  <si>
    <t>ED-20721</t>
  </si>
  <si>
    <t>40,0</t>
  </si>
  <si>
    <t>ELETRODUTO RÍGIDO ( MATERIAL: PVC|TIPO: ROSCÁVEL|DIÂMETRO: 2.1/2")</t>
  </si>
  <si>
    <t>MATED-11842</t>
  </si>
  <si>
    <t>18,0</t>
  </si>
  <si>
    <t>CABO DE COBRE NU (SEÇÃO TRANSVERSAL: 16MM2| NÚMEROS DE FIOS: 7| DIÂMETRO DOS FIOS: 1,70MM |CLASSE: 2A)</t>
  </si>
  <si>
    <t>MATED-12613</t>
  </si>
  <si>
    <t>CABO DE COBRE, FLEXIVEL, CLASSE 4 OU 5, ISOLACAO EM PVC/A, ANTICHAMA BWF-B, 1 CONDUTOR, 450/750 V, SECAO NOMINAL 25 MM2</t>
  </si>
  <si>
    <t>00039232</t>
  </si>
  <si>
    <t>CABO DE COBRE, FLEXIVEL, CLASSE 4 OU 5, ISOLACAO EM PVC/A, ANTICHAMA BWF-B, COBERTURA PVC-ST1, ANTICHAMA BWF-B, 1 CONDUTOR, 0,6/1 KV, SECAO NOMINAL 95 MM2</t>
  </si>
  <si>
    <t>00000998</t>
  </si>
  <si>
    <t>CAIXA PARA MEDIÇÃO ( APLICAÇÃO: MEDIDOR DE ENERGIA E DO DISJUNTOR POLIFÁSICA|TIPO: CM-2| MATERIAL: AÇO| ACABAMENTO: PINTURA ELETROSTÁTICA|DIMENSÕES : 46X35X21CM|NORMA: CEMIG|DISJUNTOR: NÃO INCLUSO)</t>
  </si>
  <si>
    <t>MATED-12927</t>
  </si>
  <si>
    <t>ELETRODUTO RÍGIDO ( MATERIAL: AÇO| TRATAMENTO: GALVANIZADO ELETROLÍTICO|SÉRIE: MÉDIO |DIÂMETRO: 2.1/2"[65MM]| ESPESSURA*: 0,8-0,9MM| MASSA LINEAR*: 2,29KG/M)* VALORES REFERENCIAIS APROXIMADOS</t>
  </si>
  <si>
    <t>MATED-12202</t>
  </si>
  <si>
    <t>CONECTOR METALICO TIPO PARAFUSO FENDIDO (SPLIT BOLT), PARA CABOS ATE 16 MM2</t>
  </si>
  <si>
    <t>00001539</t>
  </si>
  <si>
    <t>CONECTOR METALICO TIPO PARAFUSO FENDIDO (SPLIT BOLT), PARA CABOS ATE 25 MM2</t>
  </si>
  <si>
    <t>00001550</t>
  </si>
  <si>
    <t>CONECTOR METALICO TIPO PARAFUSO FENDIDO (SPLIT BOLT), COM SEPARADOR DE CABOS BIMETALICOS, PARA CABOS ATE 70 MM2</t>
  </si>
  <si>
    <t>00001563</t>
  </si>
  <si>
    <t>CONECTOR METALICO TIPO PARAFUSO FENDIDO (SPLIT BOLT), PARA CABOS ATE 95 MM2</t>
  </si>
  <si>
    <t>00011864</t>
  </si>
  <si>
    <t>8,0</t>
  </si>
  <si>
    <t>TERMINAL A COMPRESSAO EM COBRE ESTANHADO 2 FUROS PARA CABO 50MM2</t>
  </si>
  <si>
    <t>MATED-12036</t>
  </si>
  <si>
    <t>6,0</t>
  </si>
  <si>
    <t>TERMINAL METALICO A PRESSAO PARA 1 CABO DE 6 A 10 MM2, COM 1 FURO DE FIXACAO</t>
  </si>
  <si>
    <t>00001535</t>
  </si>
  <si>
    <t>TERMINAL METALICO A PRESSAO PARA 1 CABO DE 25 MM2, COM 1 FURO DE FIXACAO</t>
  </si>
  <si>
    <t xml:space="preserve">	00001586</t>
  </si>
  <si>
    <t>DISJUNTOR TRIPOLAR TERMOMAGNÉTICO 10KA, DE 200A</t>
  </si>
  <si>
    <t>MATED-12993</t>
  </si>
  <si>
    <t>ELETRODUTO DE PVC RIGIDO ROSCAVEL DE 2 1/2 ", SEM LUVA</t>
  </si>
  <si>
    <t>00002682</t>
  </si>
  <si>
    <t>HASTE ATERRAMENTO ZINCADO 25X25X2400MM P.CEMIG</t>
  </si>
  <si>
    <t>74.44.35</t>
  </si>
  <si>
    <t>SUDECAP</t>
  </si>
  <si>
    <t>FITA ISOLANTE ADESIVA ANTICHAMA, USO ATE 750 V, EM ROLO DE 19 MM X 20 M</t>
  </si>
  <si>
    <t>00020111</t>
  </si>
  <si>
    <t>LUVA EM PVC RIGIDO ROSCAVEL, DE 2 1/2", PARA ELETRODUTO</t>
  </si>
  <si>
    <t>00001907</t>
  </si>
  <si>
    <t>FITA ISOLANTE DE BORRACHA AUTOFUSAO, USO ATE 69 KV (ALTA TENSAO)</t>
  </si>
  <si>
    <t xml:space="preserve">	00000404</t>
  </si>
  <si>
    <t>CABECOTE PARA ENTRADA DE LINHA DE ALIMENTACAO PARA ELETRODUTO, EM LIGA DE ALUMINIO COM ACABAMENTO ANTI CORROSIVO, COM FIXACAO POR ENCAIXE LISO DE 360 GRAUS, DE 2 1/2"</t>
  </si>
  <si>
    <t>00001101</t>
  </si>
  <si>
    <t>TAMPÃO E ARO ARTICULADOS (APLICAÇÃO: CAIXA PADRÃO CEMIG|TIPO: ZA|INSTALAÇÃO: PASSEIO| MATERIAL: FERRO FUNDIDO| COMPRIMENTO*: 310MM| LARGURA: 310MM*)* VALORES REFERENCIAIS APROXIMADOS</t>
  </si>
  <si>
    <t>MATED-13058</t>
  </si>
  <si>
    <t>TAMPÃO E ARO ARTICULADOS (APLICAÇÃO: CAIXA PADRÃO CEMIG|TIPO: ZB|INSTALAÇÃO: PASSEIO| MATERIAL: FERRO FUNDIDO| COMPRIMENTO*: 640MM| LARGURA*: 564MM)* VALORES REFERENCIAIS APROXIMADOS</t>
  </si>
  <si>
    <t>MATED-13057</t>
  </si>
  <si>
    <t>3,0</t>
  </si>
  <si>
    <t>CURVA 90 GRAUS, LONGA, DE PVC RIGIDO ROSCAVEL, DE 1 1/2", PARA ELETRODUTO</t>
  </si>
  <si>
    <t>00001875</t>
  </si>
  <si>
    <t>CAIXA DE PASSAGEM ELETRICA DE PAREDE, DE EMBUTIR, EM PVC, COM TAMPA APARAFUSADA, DIMENSOES 150 X 150 X *75* MM</t>
  </si>
  <si>
    <t>00039811</t>
  </si>
  <si>
    <t>TERMINAL A COMPRESSAO EM COBRE ESTANHADO PARA CABO 50 MM2, 1 FURO E 1 COMPRESSAO, PARA PARAFUSO DE FIXACAO M8</t>
  </si>
  <si>
    <t>00001578</t>
  </si>
  <si>
    <t>CABO DE COBRE, FLEXIVEL, CLASSE 4 OU 5, ISOLACAO EM PVC/A, ANTICHAMA BWF-B, 1 CONDUTOR, 450/750 V, SECAO NOMINAL 50 MM2</t>
  </si>
  <si>
    <t>00039234</t>
  </si>
  <si>
    <t>ELETRODUTO DE PVC RIGIDO ROSCAVEL DE 1 1/2 ", SEM LUVA</t>
  </si>
  <si>
    <t>00002680</t>
  </si>
  <si>
    <t>LUVA EM PVC RIGIDO ROSCAVEL, DE 1 1/2", PARA ELETRODUTO</t>
  </si>
  <si>
    <t>00001893</t>
  </si>
  <si>
    <t>CABO DE COBRE, FLEXIVEL, CLASSE 4 OU 5, ISOLACAO EM PVC/A, ANTICHAMA BWF-B, 1 CONDUTOR, 450/750 V, SECAO NOMINAL 16 MM2</t>
  </si>
  <si>
    <t>00000979</t>
  </si>
  <si>
    <t>24,0</t>
  </si>
  <si>
    <t>CURVA 90 GRAUS, LONGA, DE PVC RIGIDO ROSCAVEL, DE 1 1/4", PARA ELETRODUTO</t>
  </si>
  <si>
    <t>00001874</t>
  </si>
  <si>
    <t>DISJUNTOR TERMOMAGNETICO PARA TRILHO DIN (IEC), BIPOLAR, 63 A</t>
  </si>
  <si>
    <t>00034628</t>
  </si>
  <si>
    <t>ELETRODUTO DE PVC RIGIDO ROSCAVEL DE 1 1/4 ", SEM LUVA</t>
  </si>
  <si>
    <t>00002684</t>
  </si>
  <si>
    <t>LUVA EM PVC RIGIDO ROSCAVEL, DE 1 1/4", PARA ELETRODUTO</t>
  </si>
  <si>
    <t>00001902</t>
  </si>
  <si>
    <t>ARAME GALVANIZADO ( BITOLA: 12BWG|DIÂMETRO DO FIO: 2,77MM|MASSA LINEAR: 0,0454KG/M)</t>
  </si>
  <si>
    <t>MATED-20647</t>
  </si>
  <si>
    <t>LOCAL: PRAÇA DR. JOÃO PINHEIRO N° 7 - CENTRO</t>
  </si>
  <si>
    <t>DEMONSTRATIVO DO BDI</t>
  </si>
  <si>
    <t>BDI (CONFORME ACÓRDÃO Nº 2622/13 e LEI Nº 13.161 DE 31/08/15)</t>
  </si>
  <si>
    <t>Grupo A</t>
  </si>
  <si>
    <t>Despesas indiretas</t>
  </si>
  <si>
    <t>A.1</t>
  </si>
  <si>
    <t>Administração central (AC)</t>
  </si>
  <si>
    <t>A.2</t>
  </si>
  <si>
    <t>Seguros (S) + Garantia (G)</t>
  </si>
  <si>
    <t>A.3</t>
  </si>
  <si>
    <t xml:space="preserve">Risco (R) </t>
  </si>
  <si>
    <t>Total do grupo A:</t>
  </si>
  <si>
    <t>Grupo B</t>
  </si>
  <si>
    <t>Bonificação</t>
  </si>
  <si>
    <t>B.1</t>
  </si>
  <si>
    <t>Lucro (L)</t>
  </si>
  <si>
    <t>Total do grupo B:</t>
  </si>
  <si>
    <t>Grupo C</t>
  </si>
  <si>
    <t>Impostos (I)</t>
  </si>
  <si>
    <t>C.1</t>
  </si>
  <si>
    <t>PIS</t>
  </si>
  <si>
    <t>C.2</t>
  </si>
  <si>
    <t>COFINS</t>
  </si>
  <si>
    <t>C.3</t>
  </si>
  <si>
    <t>C.4</t>
  </si>
  <si>
    <t>CPRB</t>
  </si>
  <si>
    <t>Total do grupo C:</t>
  </si>
  <si>
    <t>Grupo D</t>
  </si>
  <si>
    <t>Despesas Financeiras (DF)</t>
  </si>
  <si>
    <t>D.1</t>
  </si>
  <si>
    <t xml:space="preserve">Despesas Financeiras  </t>
  </si>
  <si>
    <t>Total do grupo D:</t>
  </si>
  <si>
    <t>BDI:</t>
  </si>
  <si>
    <t>_______________________________</t>
  </si>
  <si>
    <t>CPU 2 - JANELA DE CORRER, VIDRO INCOLOR 8 MM.</t>
  </si>
  <si>
    <t>CPU 1 - PEITORIL/ SOLEIRA EM MARMORE, POLIDO, BRANCO COMUM, L= *25* CM, E= *3* CM, CORTE RETO</t>
  </si>
  <si>
    <t>CPU 4 - CONJUNTO PARA CONDULETE DE 3/4" (20MM) COM TRÊS (3) INTERRUPTOR SIMPLES, E PLACA DE TRÊS (3) POSTO, INCLUSIVE FORNECIMENTO, INSTALAÇÃO, SUPORTE, MÓDULO E PLACA, EXCLUSIVE CONDULETE</t>
  </si>
  <si>
    <t>CPU 5 - CONJUNTO PARA CONDULETE DE 3/4" (20MM) COM DOIS (2) INTERRUPTOR SIMPLES E UM (1) PARALELO, PLACA DE UM (3) POSTO, INCLUSIVE FORNECIMENTO, INSTALAÇÃO, SUPORTE, MÓDULO E PLACA, EXCLUSIVE CONDULETE</t>
  </si>
  <si>
    <t>CPU 6 - CONJUNTO PARA CONDULETE DE 3/4" (20MM) COM UM (1) INTERRUPTOR SIMPLES E UM (1) PARALELO, PLACA DE UM (2) POSTO, INCLUSIVE FORNECIMENTO, INSTALAÇÃO, SUPORTE, MÓDULO E PLACA, EXCLUSIVE CONDULETE</t>
  </si>
  <si>
    <t>CPU 7 - CONJUNTO PARA CONDULETE DE 3/4" (20MM) COM DOIS (2) INTERRUPTOR SIMPLES, PLACA DOIS (2) POSTO, INCLUSIVE FORNECIMENTO, INSTALAÇÃO, SUPORTE, MÓDULO E PLACA, EXCLUSIVE CONDULETE</t>
  </si>
  <si>
    <t>CPU 8 - CONJUNTO PARA CONDULETE DE 3/4" (20MM) COM DOIS (2) INTERRUPTOR PARALELO, PLACA DE DOIS (2) POSTOS, INCLUSIVE FORNECIMENTO, INSTALAÇÃO, SUPORTE, MÓDULO E PLACA, EXCLUSIVE CONDULETE</t>
  </si>
  <si>
    <t>CPU 9 -CONJUNTO PARA CONDULETE DE 3/4" (20MM) COM DUAS (2) TOMADA PADRÃO, TRÊS (3) POLOS, CORRENTE 10A, TENSÃO 250V, (2P+T/10A-250V) E PLACA DE UM (2) POSTO, INCLUSIVE FORNECIMENTO, INSTALAÇÃO, SUPORTE, MÓDULO E PLACA, EXCLUSIVE CONDULETE</t>
  </si>
  <si>
    <t>CPU 10 - CONJUNTO PARA CONDULETE DE 3/4" (20MM) COM DUAS (2) TOMADA PADRÃO, TRÊS (3) POLOS, CORRENTE 20A, TENSÃO 250V, (2P+T/20A-250V) E PLACA DE UM (2) POSTO, INCLUSIVE FORNECIMENTO, INSTALAÇÃO, SUPORTE, MÓDULO E PLACA, EXCLUSIVE CONDULETE</t>
  </si>
  <si>
    <t>CPU 11 - TAMPA CEGA EM PVC PARA CONDULETE 4 X 2"</t>
  </si>
  <si>
    <t xml:space="preserve"> CPU 12 - FORNECER E INSTALAR, PADRÃO, TRIFÁSICO, COMPLETO, PONTALETE COM RAMAL AÉREO PADRÃO TRIFÁSICO 3- 45KVA - 3x125A</t>
  </si>
  <si>
    <t>Item</t>
  </si>
  <si>
    <t>Descrição</t>
  </si>
  <si>
    <t>Und</t>
  </si>
  <si>
    <t>Quant.</t>
  </si>
  <si>
    <t>Valor Unit</t>
  </si>
  <si>
    <t>Total</t>
  </si>
  <si>
    <t>Peso (%)</t>
  </si>
  <si>
    <t>FORNECIMENTO E COLOCAÇÃO DE PLACA DE OBRA EM CHAPA GALVANIZADA #26, ESP. 045mm, DIMENSÃO (3x1,5)m, PLOTADA COM ADESIVO VINÍLICO, AFIXADA COM REBITES 4,8x40mm, EM ESTRUTURA METÁLICA DE METALÓN 20x20mm, ESP. 1,25mm, INCLUSIVE SUPORTE EM EUCALIPTO AUTOCLAVADO PINTADO COM TINTA PVA DUAS (2) DEMÃOS</t>
  </si>
  <si>
    <t>1.0</t>
  </si>
  <si>
    <t>m2</t>
  </si>
  <si>
    <t>und.</t>
  </si>
  <si>
    <t>m3</t>
  </si>
  <si>
    <t>%</t>
  </si>
  <si>
    <t>2.0</t>
  </si>
  <si>
    <t>Memória de Cálculo</t>
  </si>
  <si>
    <t>SEINFRA ED-28427</t>
  </si>
  <si>
    <t>SEINFRA ED-50392</t>
  </si>
  <si>
    <t>3.0</t>
  </si>
  <si>
    <t>SUB-TOTAL</t>
  </si>
  <si>
    <t>4.0</t>
  </si>
  <si>
    <t>LIMPEZA DE SUPERFÍCIE COM JATO DE ALTA PRESSÃO. AF_04/2019</t>
  </si>
  <si>
    <t>SINAPI 99814</t>
  </si>
  <si>
    <t>PLACA DE ALUMÍNIO FUNDIDO, DIMENSÃO (60x40)cm, PARA INAUGURAÇÃO, INCLUSIVE FIXAÇÃO</t>
  </si>
  <si>
    <t>SERVIÇOS COMPLEMENTARES</t>
  </si>
  <si>
    <t>CRONOGRAMA FÍSICO FINANCEIRO</t>
  </si>
  <si>
    <t>Folha: 01/01</t>
  </si>
  <si>
    <t>ITEM</t>
  </si>
  <si>
    <t>ETAPA/DESCRIÇÃO</t>
  </si>
  <si>
    <t>FISICO/        FINANCEIRO</t>
  </si>
  <si>
    <t>TOTAL DAS ETAPAS</t>
  </si>
  <si>
    <t>MÊS 01</t>
  </si>
  <si>
    <t>TOTAL ITEM R$</t>
  </si>
  <si>
    <t>FISICO</t>
  </si>
  <si>
    <t>FINANCEIRO</t>
  </si>
  <si>
    <t>Percentual Global Simples</t>
  </si>
  <si>
    <t>Preço Total</t>
  </si>
  <si>
    <t xml:space="preserve">Valor Simples </t>
  </si>
  <si>
    <t>Percentual Global Acumulado</t>
  </si>
  <si>
    <t>Valor Acumulado</t>
  </si>
  <si>
    <t>kg</t>
  </si>
  <si>
    <t>MOBILIZAÇÃO DA OBRA / INSTALAÇÕES PROVISÓRIAS</t>
  </si>
  <si>
    <t>1.1</t>
  </si>
  <si>
    <t>1.2</t>
  </si>
  <si>
    <t>1.3</t>
  </si>
  <si>
    <t>1.4</t>
  </si>
  <si>
    <t>1.5</t>
  </si>
  <si>
    <t>01 und placa de obra</t>
  </si>
  <si>
    <t>mês</t>
  </si>
  <si>
    <t>LOCAÇÃO DE CONTAINER COM ISOLAMENTO TÉRMICO, TIPO 3, PARA DEPÓSITO/ FERRAMENTARIA DE OBRA, COM MEDIDAS REFERENCIAIS DE (6) METROS COMPRIMENTO, (2,3) METROS LARGURA E (2,5) METROS ALTURA ÚTIL INTERNA, INCLUSIVE LIGAÇÕES ELÉTRICAS INTERNAS, EXCLUSIVE MOBILIZAÇÃO/
DESMOBILIZAÇÃO E LIGAÇÕES PROVISÓRIAS EXTERNAS</t>
  </si>
  <si>
    <t>SEINFRA ED-16350</t>
  </si>
  <si>
    <t>MOBILIZAÇÃO E DESMOBILIZAÇÃO DE CONTAINER, INCLUSIVE CARGA, DESCARGA E TRANSPORTE EM CAMINHÃO CARROCERIA COM GUINDAUTO (MUNCK), EXCLUSIVE LOCAÇÃO DO CONTAINER</t>
  </si>
  <si>
    <t>SEINFRA ED-50137</t>
  </si>
  <si>
    <t>LOCAÇÃO DE BANHEIRO QUÍMICO, DIMENSÃO (110X120X230)CM, LINHA PADRÃO, CONTENDO UMA (1) PIA/HIGIENIZADOR DE MÃOS, INCLUSIVE MANUTENÇÃO E MOBILIZAÇÃO/DESMOBILIZAÇÃO</t>
  </si>
  <si>
    <t>SEINFRA ED-50155</t>
  </si>
  <si>
    <t>01 und placa de inauguração</t>
  </si>
  <si>
    <t>OBSERVAÇÕES</t>
  </si>
  <si>
    <t>1.6</t>
  </si>
  <si>
    <t>MOBILIZAÇÃO E DESMOBILIZAÇÃO DE OBRA EM CENTRO URBANO  OU REGIÃO LIMÍTROFE COM VALOR ATÉ O VALOR DE 1.000.000,00</t>
  </si>
  <si>
    <t>01 mobilização/ desmobilização de container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</si>
  <si>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</si>
  <si>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Refer.</t>
  </si>
  <si>
    <t>Valor Unit com BDI</t>
  </si>
  <si>
    <t>01 mobilização/desmob.</t>
  </si>
  <si>
    <t>SERVIÇOS PRELIMINARES</t>
  </si>
  <si>
    <t xml:space="preserve">SERVIÇOS PRELIMINARES </t>
  </si>
  <si>
    <t>Rev. A</t>
  </si>
  <si>
    <t>LIGAÇÃO PROVISÓRIA COM ENTRADA DE ENERGIA AÉREA, PADRÃO CEMIG, CARGA INSTALADA DE 15,1KVA ATÉ 30KVA, TRIFÁSICO, COM SAÍDA SUBTERRÂNEA, INCLUSIVE POSTE, CAIXA PARA MEDIDOR, DISJUNTOR, BARRAMENTO, ATERRAMENTO E ACESSÓRIOS</t>
  </si>
  <si>
    <t>01 und</t>
  </si>
  <si>
    <t>SEINFRA ED-50151</t>
  </si>
  <si>
    <t>OBRA CIVIL</t>
  </si>
  <si>
    <t>3.1</t>
  </si>
  <si>
    <t>3.2</t>
  </si>
  <si>
    <t>3.3</t>
  </si>
  <si>
    <t>3.4</t>
  </si>
  <si>
    <t>3.5</t>
  </si>
  <si>
    <t>4.1</t>
  </si>
  <si>
    <t>LOCAÇÃO DE OBRA COM GABARITO DE TÁBUAS CORRIDAS PONTALETADAS A CADA 2,00M, REAPROVEITAMENTO (2X), INCLUSIVE ACOMPANHAMENTO DE EQUIPE TOPOGRÁFICA PARA MARCAÇÃO DE PONTO TOPOGRÁFICO</t>
  </si>
  <si>
    <t>SEINFRA ED-17989</t>
  </si>
  <si>
    <t>TAPUME FIXO DE PROTEÇÃO PARA FECHAMENTO DE OBRA EM TELHA METÁLICA GALVANIZADA, TIPO TRAPEZOIDAL, ESP. 0,5MM, COM MÓDULO NA DIMENSÃO DE (300X220)CM, COM REAPROVEITAMENTO, EXCLUSIVE PINTURA ESMALTE, INCLUSIVE
PONTALETE E FIXAÇÃO</t>
  </si>
  <si>
    <t>SEINFRA ED-29823</t>
  </si>
  <si>
    <t>2.2</t>
  </si>
  <si>
    <t>ESCAVAÇÃO MANUAL DE VALA PARA VIGA BALDRAME (INCLUINDO ESCAVAÇÃO PARA COLOCAÇÃO DE FÔRMAS). AF_06/2017</t>
  </si>
  <si>
    <t>REGULARIZAÇÃO E COMPACTAÇÃO DE TERRENO MANUAL COM SOQUETE, EXCLUSIVE DESMATAMENTO, DESTOCAMENTO, LIMPEZA/ROÇADA DO TERRENO</t>
  </si>
  <si>
    <t>CONCRETO MAGRO PARA LASTRO, TRAÇO 1:4,5:4,5 (EM MASSA SECA DE CIMENTO/AREIA MÉDIA/ SEIXO ROLADO) - PREPARO MECÂNICO COM BETONEIRA 400 L. AF_05/2021</t>
  </si>
  <si>
    <t>CORTE, DOBRA E MONTAGEM DE AÇO CA-50/60, INCLUSIVE ESPAÇADOR</t>
  </si>
  <si>
    <t>FORNECIMENTO DE CONCRETO ESTRUTURAL, USINADO, COM FCK 25MPA, INCLUSIVE LANÇAMENTO, ADENSAMENTO E ACABAMENTO (FUNDAÇÃO)</t>
  </si>
  <si>
    <t>CARGA MANUAL DE MATERIAL DE QUALQUER NATUREZA SOBRE CAMINHÃO, EXCLUSIVE TRANSPORTE</t>
  </si>
  <si>
    <t>TRANPORTE DE CAMINHÃO BASCULANTE DE 6m3, EM VIA URBANA PAVIMENTADA, DMT ATÉ 30KM (UNIDADE: m3Xkm). AF_01/2018 - (CONSIDERANDO 20km DE DISTÂNCIA)</t>
  </si>
  <si>
    <t>3.6</t>
  </si>
  <si>
    <t>3.8</t>
  </si>
  <si>
    <t>3.9</t>
  </si>
  <si>
    <t>m3xkm</t>
  </si>
  <si>
    <t>SINAPI 96527</t>
  </si>
  <si>
    <t>SEINFRA ED-51122</t>
  </si>
  <si>
    <t>SINAPI 102473</t>
  </si>
  <si>
    <t>SEINFRA ED-48298</t>
  </si>
  <si>
    <t>SICRO 3106121</t>
  </si>
  <si>
    <t>SEINFRA ED-51131</t>
  </si>
  <si>
    <t>SINAPI 97914</t>
  </si>
  <si>
    <t>FORMAS DE TÁBUAS DE PINHO - UTILIZAÇÃO DE 3 VEZES - CONFECÇÃO, INSTALAÇÃO E RETIRADA</t>
  </si>
  <si>
    <t>SEINFRA ED-49798</t>
  </si>
  <si>
    <t>1 mês conforme cronograma de obra</t>
  </si>
  <si>
    <t>perímetro da base = 12,80m</t>
  </si>
  <si>
    <t>area da base + 1 m em cada lateral = 26,04m2</t>
  </si>
  <si>
    <t>áera da base = 9,24m2</t>
  </si>
  <si>
    <t>laje: (9,24x0,05) + vigas: 2x(0,4*0,05) = 0,50m3</t>
  </si>
  <si>
    <t>vigas: 16 + laje: 60 = 76kg</t>
  </si>
  <si>
    <t>laje: (9,24x0,10) + vigas: 2x(1x0,4) + 30% empolamento = 2,24m3</t>
  </si>
  <si>
    <t>Prazo: 1 mês</t>
  </si>
  <si>
    <t>__________________________________________________________</t>
  </si>
  <si>
    <t>c</t>
  </si>
  <si>
    <t>Sem desoneração</t>
  </si>
  <si>
    <t>SEINFRA ED-50634</t>
  </si>
  <si>
    <t>Gerador Cisamapi - Ponte Nova/MG</t>
  </si>
  <si>
    <t>Iara Ribeiro Gonçalves</t>
  </si>
  <si>
    <t>Engenheira Civil - CREA MG 350.061/D</t>
  </si>
  <si>
    <t>INSTALAÇÕES ELÉTRICAS</t>
  </si>
  <si>
    <t>5.0</t>
  </si>
  <si>
    <t>5.1</t>
  </si>
  <si>
    <t>5.2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</si>
  <si>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</si>
  <si>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</si>
  <si>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</si>
  <si>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</si>
  <si>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</si>
  <si>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</si>
  <si>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</si>
  <si>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</si>
  <si>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</si>
  <si>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</si>
  <si>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</si>
  <si>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CABO UNIPOLAR DE COBRE FLEXÍVEL, CLASSE 5, ISOLAMENTO TIPO EPR/HEPR, NÃO HALOGENADO E ANTICHAMA, DIÂMETRO DA SEÇÃO DE 240MM2, TEMPERATURA DE TRABALHO 90°C, TENSÃO NOMINAL DE OPERAÇÃO 0,6/1KV</t>
  </si>
  <si>
    <t xml:space="preserve">SEINFRA ED-49028 </t>
  </si>
  <si>
    <t>14 unds - lista material projeto elétrico gerador</t>
  </si>
  <si>
    <t>300m preto + 100m azul - lista material projeto elétrico gerador</t>
  </si>
  <si>
    <t>CABO UNIPOLAR DE COBRE FLEXÍVEL, CLASSE 5, ISOLAMENTO TIPO EPR/HEPR, NÃO HALOGENADO E ANTICHAMA, DIÂMETRO DA SEÇÃO DE 120MM2, TEMPERATURA DE TRABALHO 90°C, TENSÃO NOMINAL DE OPERAÇÃO 0,6/1KV</t>
  </si>
  <si>
    <t>SEINFRA ED-49019</t>
  </si>
  <si>
    <t>100m verde - lista material projeto elétrico gerador</t>
  </si>
  <si>
    <t>CAIXA DE INSPEÇÃO EM CONCRETO, TIPO "ZC" GARAGEM, PADRÃO CEMIG, DIMENSÃO (77X67)CM, ALTURA 90CM, COM TAMPA E ARO ARTICULADO EM FERRO FUNDIDO, INCLUSIVE ESCAVAÇÃO, APILOAMENTO, LASTRO DE BRITA, REATERRO E
TRANSPORTE COM RETIRADA DO MATERIAL ESCAVADO (EM CAÇAMBA)</t>
  </si>
  <si>
    <t>SEINFRA ED-49202</t>
  </si>
  <si>
    <t>03 unds - lista material projeto elétrico gerador</t>
  </si>
  <si>
    <t>CURVA 90 GRAUS, LONGA, DE PVC RIGIDO ROSCAVEL, DE 4", PARA ELETRODUTO</t>
  </si>
  <si>
    <t>04 unds - lista material projeto elétrico gerador</t>
  </si>
  <si>
    <t>ESCAVAÇÃO MANUAL DE TERRA (DESATERRO MANUAL), INCLUSIVE DESCARGA LATERAL, EXCLUSIVE RETIRADA E TRANSPORTE DO MATERIAL ESCAVADO</t>
  </si>
  <si>
    <t>m³</t>
  </si>
  <si>
    <t>SEINFRA ED-51110</t>
  </si>
  <si>
    <t>COMPACTAÇÃO MANUAL DE ATERRO COM SOQUETE, INCLUSIVE ESPALHAMENTO MANUAL</t>
  </si>
  <si>
    <t>SEINFRA ED-51097</t>
  </si>
  <si>
    <t>FÔRMA E DESFORMA DE COMPENSADO PLASTIFICADO, ESP. 12MM, REAPROVEITAMENTO (3X), EXCLUSIVE ESCORAMENTO</t>
  </si>
  <si>
    <t>SEINFRA ED-8398</t>
  </si>
  <si>
    <t>TERMINAL METALICO A PRESSAO PARA 1 CABO DE 240 MM2, COM 1 FURO DE
FIXACAO</t>
  </si>
  <si>
    <t>24 unds - lista material projeto elétrico gerador</t>
  </si>
  <si>
    <t>TERMINAL METALICO A PRESSAO PARA 1 CABO DE 120 MM2, COM 1 FURO DE
FIXACAO</t>
  </si>
  <si>
    <t>06 unds - lista material projeto elétrico gerador</t>
  </si>
  <si>
    <t>EXECUÇÃO DE PAVIMENTO EM PISO INTERTRAVADO, COM BLOCO 16 FACES DE 22 X 11 CM, ESPESSURA 8 CM. AF_10/2022</t>
  </si>
  <si>
    <t xml:space="preserve">SINAPI 92404 </t>
  </si>
  <si>
    <t>DUTO CORRUGADO EM POLIETILENO DE ALTA DENSIDADE (PEAD), DIÂMETRO DE 150MM (6"), EXCLUSIVE ENVELOPAMENTO</t>
  </si>
  <si>
    <t xml:space="preserve">SEINFRA ED-49300 </t>
  </si>
  <si>
    <t>42m - lista material projeto elétrico gerador</t>
  </si>
  <si>
    <t>4.14</t>
  </si>
  <si>
    <t>REATERRO MANUAL DE VALAS, COM COMPACTADOR DE SOLOS DE PERCUSSÃO. AF_08/2023</t>
  </si>
  <si>
    <t>SINAPI 93382</t>
  </si>
  <si>
    <t>42m tubulação x 0,90 profundidade x 0,50 largura = 18,90m³</t>
  </si>
  <si>
    <t>Volume escavado - volume ocupado pela tubulação</t>
  </si>
  <si>
    <t>Idem volume reaterro</t>
  </si>
  <si>
    <t>42m extensão x 0,70m largura (considerando margem)</t>
  </si>
  <si>
    <t>Forma para as caixas: 3 unds x 107x97x90 = 5,75m²</t>
  </si>
  <si>
    <t>BUCHA/ARRUELA DE ALUMÍNIO PARA ELETRODUTO 6"</t>
  </si>
  <si>
    <t>SBC 007823</t>
  </si>
  <si>
    <t>SINAPI INSUMOS 011838</t>
  </si>
  <si>
    <t>SINAPI INSUMOS 001591</t>
  </si>
  <si>
    <t>SINAPI INSUMOS 001878</t>
  </si>
  <si>
    <r>
      <t>ISSQN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(Observar a legislação do Município que trata da alíquota de ISS)</t>
    </r>
  </si>
  <si>
    <t>SINAPI - 09/2025 - Minas Gerais
SEINFRA - 07/2025 - Minas Gerais/Leste
SICRO - 07/2025 Minas Gerais             SBC 08/2018</t>
  </si>
  <si>
    <t>INSTALAÇÃO ELÉTRICA</t>
  </si>
  <si>
    <t>Área da base</t>
  </si>
  <si>
    <t>volume carga manual x 5km = 11,21m3xkm</t>
  </si>
  <si>
    <t>volume escavação = 2,24m3</t>
  </si>
  <si>
    <t>vigas: 2x(0,4x0,4x2,2) + laje: (9,24x0,15) = 2,09m³ + 15% = 2,40m3</t>
  </si>
  <si>
    <t>vigas: 5,44m² + 15% = 6,26m2</t>
  </si>
  <si>
    <t>6.0</t>
  </si>
  <si>
    <t>6.1</t>
  </si>
  <si>
    <t>ADMINISTRAÇÃO LOCAL</t>
  </si>
  <si>
    <t>ADMINISTRAÇÃO LOCAL 1º  QUARTIL - % BASEADA ACÓRDÃO 2.622/2013 DO TCU SOBRE SOMA DOS ITENS 1 a 5</t>
  </si>
  <si>
    <t>Área de intervenção = 85m²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</si>
</sst>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#,##0.0000"/>
    <numFmt numFmtId="165" formatCode="_-&quot;R$&quot;\ * #,##0.000_-;\-&quot;R$&quot;\ * #,##0.000_-;_-&quot;R$&quot;\ * &quot;-&quot;??_-;_-@_-"/>
    <numFmt numFmtId="166" formatCode="#,##0.0"/>
    <numFmt numFmtId="167" formatCode="_-&quot;R$&quot;\ * #,##0.0_-;\-&quot;R$&quot;\ * #,##0.0_-;_-&quot;R$&quot;\ * &quot;-&quot;??_-;_-@_-"/>
    <numFmt numFmtId="168" formatCode="_-[$R$-416]\ * #,##0.00_-;\-[$R$-416]\ * #,##0.00_-;_-[$R$-416]\ * &quot;-&quot;??_-;_-@_-"/>
    <numFmt numFmtId="169" formatCode="00"/>
    <numFmt numFmtId="170" formatCode="&quot;R$&quot;\ #,##0.00"/>
    <numFmt numFmtId="171" formatCode="_(&quot;R$ &quot;* #,##0.00_);_(&quot;R$ &quot;* \(#,##0.00\);_(&quot;R$ &quot;* &quot;-&quot;??_);_(@_)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7"/>
      <color rgb="FF663D14"/>
      <name val="Arial"/>
      <family val="2"/>
    </font>
    <font>
      <sz val="11"/>
      <name val="Arial"/>
      <family val="1"/>
    </font>
    <font>
      <b/>
      <sz val="10"/>
      <name val="Century Gothic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indexed="65"/>
        <bgColor rgb="FFC00000"/>
      </patternFill>
    </fill>
    <fill>
      <patternFill patternType="solid">
        <fgColor theme="8"/>
        <bgColor rgb="FFC00000"/>
      </patternFill>
    </fill>
    <fill>
      <patternFill patternType="solid">
        <fgColor theme="8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rgb="FFF2F2F2"/>
      </patternFill>
    </fill>
    <fill>
      <patternFill patternType="solid">
        <fgColor theme="8" tint="0.59996337778862885"/>
        <bgColor rgb="FFD9D9D9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indexed="64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44" fontId="7" fillId="0" borderId="0" quotePrefix="1" applyFont="0" applyFill="0" applyBorder="0" applyAlignment="0">
      <protection locked="0"/>
    </xf>
    <xf numFmtId="0" fontId="7" fillId="0" borderId="0"/>
    <xf numFmtId="0" fontId="7" fillId="0" borderId="0"/>
    <xf numFmtId="9" fontId="7" fillId="0" borderId="0" applyBorder="0" applyProtection="0"/>
    <xf numFmtId="0" fontId="18" fillId="0" borderId="0"/>
    <xf numFmtId="44" fontId="2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01">
    <xf numFmtId="0" fontId="0" fillId="0" borderId="0" xfId="0"/>
    <xf numFmtId="0" fontId="4" fillId="0" borderId="4" xfId="0" applyFont="1" applyBorder="1" applyAlignment="1" applyProtection="1">
      <alignment horizontal="left" vertical="center" wrapText="1"/>
      <protection hidden="1"/>
    </xf>
    <xf numFmtId="10" fontId="4" fillId="0" borderId="4" xfId="0" applyNumberFormat="1" applyFont="1" applyBorder="1" applyAlignment="1" applyProtection="1">
      <alignment horizontal="center" vertical="center" wrapText="1"/>
      <protection hidden="1"/>
    </xf>
    <xf numFmtId="44" fontId="6" fillId="3" borderId="8" xfId="2" applyFont="1" applyFill="1" applyBorder="1" applyAlignment="1" applyProtection="1">
      <alignment horizontal="center" vertical="center" wrapText="1" shrinkToFit="1"/>
      <protection hidden="1"/>
    </xf>
    <xf numFmtId="10" fontId="6" fillId="3" borderId="8" xfId="2" applyNumberFormat="1" applyFont="1" applyFill="1" applyBorder="1" applyAlignment="1" applyProtection="1">
      <alignment horizontal="center" vertical="center" wrapText="1" shrinkToFit="1"/>
      <protection hidden="1"/>
    </xf>
    <xf numFmtId="49" fontId="8" fillId="4" borderId="10" xfId="0" applyNumberFormat="1" applyFont="1" applyFill="1" applyBorder="1" applyAlignment="1" applyProtection="1">
      <alignment horizontal="left" vertical="center" wrapText="1" shrinkToFit="1"/>
      <protection hidden="1"/>
    </xf>
    <xf numFmtId="44" fontId="8" fillId="4" borderId="8" xfId="2" applyFont="1" applyFill="1" applyBorder="1" applyAlignment="1" applyProtection="1">
      <alignment vertical="center" shrinkToFit="1"/>
      <protection hidden="1"/>
    </xf>
    <xf numFmtId="10" fontId="8" fillId="4" borderId="8" xfId="2" applyNumberFormat="1" applyFont="1" applyFill="1" applyBorder="1" applyAlignment="1" applyProtection="1">
      <alignment horizontal="center" vertical="center" shrinkToFit="1"/>
      <protection hidden="1"/>
    </xf>
    <xf numFmtId="49" fontId="9" fillId="5" borderId="11" xfId="0" applyNumberFormat="1" applyFont="1" applyFill="1" applyBorder="1" applyAlignment="1" applyProtection="1">
      <alignment horizontal="left" vertical="center" wrapText="1" shrinkToFit="1"/>
      <protection hidden="1"/>
    </xf>
    <xf numFmtId="44" fontId="9" fillId="5" borderId="8" xfId="2" applyFont="1" applyFill="1" applyBorder="1" applyAlignment="1" applyProtection="1">
      <alignment vertical="center" shrinkToFit="1"/>
      <protection hidden="1"/>
    </xf>
    <xf numFmtId="10" fontId="9" fillId="5" borderId="8" xfId="2" applyNumberFormat="1" applyFont="1" applyFill="1" applyBorder="1" applyAlignment="1" applyProtection="1">
      <alignment horizontal="center" vertical="center" shrinkToFit="1"/>
      <protection hidden="1"/>
    </xf>
    <xf numFmtId="7" fontId="10" fillId="5" borderId="8" xfId="2" applyNumberFormat="1" applyFont="1" applyFill="1" applyBorder="1" applyAlignment="1" applyProtection="1">
      <alignment vertical="center" shrinkToFit="1"/>
      <protection hidden="1"/>
    </xf>
    <xf numFmtId="0" fontId="12" fillId="0" borderId="8" xfId="0" applyFont="1" applyBorder="1" applyAlignment="1" applyProtection="1">
      <alignment horizontal="left" vertical="center" wrapText="1"/>
      <protection hidden="1"/>
    </xf>
    <xf numFmtId="49" fontId="11" fillId="0" borderId="8" xfId="0" applyNumberFormat="1" applyFont="1" applyBorder="1" applyAlignment="1" applyProtection="1">
      <alignment horizontal="center" vertical="center" shrinkToFit="1"/>
      <protection hidden="1"/>
    </xf>
    <xf numFmtId="4" fontId="11" fillId="2" borderId="8" xfId="0" applyNumberFormat="1" applyFont="1" applyFill="1" applyBorder="1" applyAlignment="1" applyProtection="1">
      <alignment horizontal="center" vertical="center" shrinkToFit="1"/>
      <protection hidden="1"/>
    </xf>
    <xf numFmtId="164" fontId="13" fillId="0" borderId="8" xfId="2" applyNumberFormat="1" applyFont="1" applyFill="1" applyBorder="1" applyAlignment="1" applyProtection="1">
      <alignment vertical="center" shrinkToFit="1"/>
      <protection hidden="1"/>
    </xf>
    <xf numFmtId="44" fontId="11" fillId="0" borderId="8" xfId="2" applyFont="1" applyFill="1" applyBorder="1" applyAlignment="1" applyProtection="1">
      <alignment vertical="center" shrinkToFit="1"/>
      <protection hidden="1"/>
    </xf>
    <xf numFmtId="44" fontId="11" fillId="2" borderId="8" xfId="2" applyFont="1" applyFill="1" applyBorder="1" applyAlignment="1" applyProtection="1">
      <alignment vertical="center" shrinkToFit="1"/>
      <protection hidden="1"/>
    </xf>
    <xf numFmtId="44" fontId="11" fillId="0" borderId="8" xfId="2" applyFont="1" applyBorder="1" applyAlignment="1" applyProtection="1">
      <alignment vertical="center" shrinkToFit="1"/>
      <protection hidden="1"/>
    </xf>
    <xf numFmtId="10" fontId="11" fillId="0" borderId="8" xfId="1" applyNumberFormat="1" applyFont="1" applyFill="1" applyBorder="1" applyAlignment="1" applyProtection="1">
      <alignment horizontal="center" vertical="center" shrinkToFit="1"/>
      <protection hidden="1"/>
    </xf>
    <xf numFmtId="44" fontId="0" fillId="0" borderId="0" xfId="0" applyNumberFormat="1"/>
    <xf numFmtId="10" fontId="8" fillId="4" borderId="8" xfId="1" applyNumberFormat="1" applyFont="1" applyFill="1" applyBorder="1" applyAlignment="1" applyProtection="1">
      <alignment horizontal="center" vertical="center" shrinkToFit="1"/>
      <protection locked="0"/>
    </xf>
    <xf numFmtId="49" fontId="9" fillId="5" borderId="8" xfId="0" applyNumberFormat="1" applyFont="1" applyFill="1" applyBorder="1" applyAlignment="1" applyProtection="1">
      <alignment horizontal="center" vertical="center" wrapText="1" shrinkToFit="1"/>
      <protection hidden="1"/>
    </xf>
    <xf numFmtId="10" fontId="9" fillId="5" borderId="8" xfId="1" applyNumberFormat="1" applyFont="1" applyFill="1" applyBorder="1" applyAlignment="1" applyProtection="1">
      <alignment horizontal="center" vertical="center" shrinkToFit="1"/>
      <protection locked="0"/>
    </xf>
    <xf numFmtId="49" fontId="11" fillId="0" borderId="8" xfId="0" applyNumberFormat="1" applyFont="1" applyBorder="1" applyAlignment="1" applyProtection="1">
      <alignment horizontal="center" vertical="center" wrapText="1" shrinkToFit="1"/>
      <protection hidden="1"/>
    </xf>
    <xf numFmtId="4" fontId="11" fillId="2" borderId="8" xfId="0" quotePrefix="1" applyNumberFormat="1" applyFont="1" applyFill="1" applyBorder="1" applyAlignment="1">
      <alignment vertical="center" wrapText="1"/>
    </xf>
    <xf numFmtId="49" fontId="11" fillId="2" borderId="8" xfId="0" applyNumberFormat="1" applyFont="1" applyFill="1" applyBorder="1" applyAlignment="1" applyProtection="1">
      <alignment horizontal="center" vertical="center" shrinkToFit="1"/>
      <protection hidden="1"/>
    </xf>
    <xf numFmtId="10" fontId="11" fillId="2" borderId="8" xfId="1" applyNumberFormat="1" applyFont="1" applyFill="1" applyBorder="1" applyAlignment="1" applyProtection="1">
      <alignment horizontal="center" vertical="center" shrinkToFit="1"/>
      <protection hidden="1"/>
    </xf>
    <xf numFmtId="4" fontId="11" fillId="2" borderId="8" xfId="0" quotePrefix="1" applyNumberFormat="1" applyFont="1" applyFill="1" applyBorder="1" applyAlignment="1">
      <alignment horizontal="left" vertical="center" wrapText="1"/>
    </xf>
    <xf numFmtId="4" fontId="11" fillId="2" borderId="8" xfId="0" quotePrefix="1" applyNumberFormat="1" applyFont="1" applyFill="1" applyBorder="1" applyAlignment="1">
      <alignment horizontal="center" vertical="center" wrapText="1"/>
    </xf>
    <xf numFmtId="44" fontId="11" fillId="2" borderId="8" xfId="2" quotePrefix="1" applyFont="1" applyFill="1" applyBorder="1" applyAlignment="1" applyProtection="1">
      <alignment vertical="center" wrapText="1"/>
    </xf>
    <xf numFmtId="49" fontId="11" fillId="2" borderId="8" xfId="0" applyNumberFormat="1" applyFont="1" applyFill="1" applyBorder="1" applyAlignment="1" applyProtection="1">
      <alignment horizontal="left" vertical="center" wrapText="1" shrinkToFit="1"/>
      <protection hidden="1"/>
    </xf>
    <xf numFmtId="0" fontId="11" fillId="5" borderId="8" xfId="0" applyFont="1" applyFill="1" applyBorder="1" applyAlignment="1" applyProtection="1">
      <alignment vertical="center" shrinkToFit="1"/>
      <protection hidden="1"/>
    </xf>
    <xf numFmtId="49" fontId="11" fillId="2" borderId="8" xfId="0" applyNumberFormat="1" applyFont="1" applyFill="1" applyBorder="1" applyAlignment="1" applyProtection="1">
      <alignment horizontal="center" vertical="center" wrapText="1" shrinkToFit="1"/>
      <protection hidden="1"/>
    </xf>
    <xf numFmtId="10" fontId="8" fillId="6" borderId="8" xfId="2" applyNumberFormat="1" applyFont="1" applyFill="1" applyBorder="1" applyAlignment="1" applyProtection="1">
      <alignment horizontal="center" vertical="center" shrinkToFit="1"/>
      <protection hidden="1"/>
    </xf>
    <xf numFmtId="49" fontId="13" fillId="2" borderId="8" xfId="0" applyNumberFormat="1" applyFont="1" applyFill="1" applyBorder="1" applyAlignment="1" applyProtection="1">
      <alignment horizontal="left" vertical="center" wrapText="1" shrinkToFit="1"/>
      <protection hidden="1"/>
    </xf>
    <xf numFmtId="44" fontId="6" fillId="4" borderId="15" xfId="2" applyFont="1" applyFill="1" applyBorder="1" applyAlignment="1" applyProtection="1">
      <alignment vertical="center" shrinkToFit="1"/>
      <protection hidden="1"/>
    </xf>
    <xf numFmtId="10" fontId="6" fillId="4" borderId="15" xfId="2" applyNumberFormat="1" applyFont="1" applyFill="1" applyBorder="1" applyAlignment="1" applyProtection="1">
      <alignment horizontal="center" vertical="center" shrinkToFit="1"/>
      <protection hidden="1"/>
    </xf>
    <xf numFmtId="49" fontId="8" fillId="4" borderId="0" xfId="0" applyNumberFormat="1" applyFont="1" applyFill="1" applyAlignment="1" applyProtection="1">
      <alignment horizontal="center" vertical="center" wrapText="1" shrinkToFit="1"/>
      <protection hidden="1"/>
    </xf>
    <xf numFmtId="44" fontId="11" fillId="2" borderId="17" xfId="2" applyFont="1" applyFill="1" applyBorder="1" applyAlignment="1" applyProtection="1">
      <alignment vertical="center" shrinkToFit="1"/>
      <protection hidden="1"/>
    </xf>
    <xf numFmtId="44" fontId="11" fillId="2" borderId="0" xfId="2" applyFont="1" applyFill="1" applyBorder="1" applyAlignment="1" applyProtection="1">
      <alignment vertical="center" shrinkToFit="1"/>
      <protection hidden="1"/>
    </xf>
    <xf numFmtId="10" fontId="11" fillId="2" borderId="17" xfId="1" applyNumberFormat="1" applyFont="1" applyFill="1" applyBorder="1" applyAlignment="1" applyProtection="1">
      <alignment vertical="center" shrinkToFit="1"/>
      <protection hidden="1"/>
    </xf>
    <xf numFmtId="10" fontId="11" fillId="2" borderId="0" xfId="1" applyNumberFormat="1" applyFont="1" applyFill="1" applyBorder="1" applyAlignment="1" applyProtection="1">
      <alignment vertical="center" shrinkToFit="1"/>
      <protection hidden="1"/>
    </xf>
    <xf numFmtId="49" fontId="8" fillId="4" borderId="19" xfId="0" applyNumberFormat="1" applyFont="1" applyFill="1" applyBorder="1" applyAlignment="1" applyProtection="1">
      <alignment horizontal="left" vertical="center" wrapText="1" shrinkToFit="1"/>
      <protection hidden="1"/>
    </xf>
    <xf numFmtId="44" fontId="11" fillId="2" borderId="20" xfId="2" applyFont="1" applyFill="1" applyBorder="1" applyAlignment="1" applyProtection="1">
      <alignment vertical="center" shrinkToFit="1"/>
      <protection hidden="1"/>
    </xf>
    <xf numFmtId="44" fontId="6" fillId="7" borderId="8" xfId="2" applyFont="1" applyFill="1" applyBorder="1" applyAlignment="1" applyProtection="1">
      <alignment horizontal="center" vertical="center" wrapText="1" shrinkToFit="1"/>
      <protection hidden="1"/>
    </xf>
    <xf numFmtId="44" fontId="11" fillId="2" borderId="8" xfId="1" applyNumberFormat="1" applyFont="1" applyFill="1" applyBorder="1" applyAlignment="1" applyProtection="1">
      <alignment horizontal="center" vertical="center" shrinkToFit="1"/>
      <protection hidden="1"/>
    </xf>
    <xf numFmtId="44" fontId="8" fillId="4" borderId="8" xfId="2" applyFont="1" applyFill="1" applyBorder="1" applyAlignment="1" applyProtection="1">
      <alignment horizontal="center" vertical="center" shrinkToFit="1"/>
      <protection hidden="1"/>
    </xf>
    <xf numFmtId="10" fontId="9" fillId="5" borderId="8" xfId="2" applyNumberFormat="1" applyFont="1" applyFill="1" applyBorder="1" applyAlignment="1" applyProtection="1">
      <alignment horizontal="left" vertical="center" shrinkToFit="1"/>
      <protection hidden="1"/>
    </xf>
    <xf numFmtId="10" fontId="11" fillId="0" borderId="8" xfId="1" applyNumberFormat="1" applyFont="1" applyFill="1" applyBorder="1" applyAlignment="1" applyProtection="1">
      <alignment horizontal="left" vertical="center" shrinkToFit="1"/>
      <protection hidden="1"/>
    </xf>
    <xf numFmtId="44" fontId="8" fillId="4" borderId="8" xfId="1" applyNumberFormat="1" applyFont="1" applyFill="1" applyBorder="1" applyAlignment="1" applyProtection="1">
      <alignment horizontal="left" vertical="center" shrinkToFit="1"/>
      <protection locked="0"/>
    </xf>
    <xf numFmtId="10" fontId="11" fillId="2" borderId="8" xfId="1" applyNumberFormat="1" applyFont="1" applyFill="1" applyBorder="1" applyAlignment="1" applyProtection="1">
      <alignment horizontal="left" vertical="center" shrinkToFit="1"/>
      <protection hidden="1"/>
    </xf>
    <xf numFmtId="44" fontId="9" fillId="5" borderId="8" xfId="2" applyFont="1" applyFill="1" applyBorder="1" applyAlignment="1" applyProtection="1">
      <alignment horizontal="left" vertical="center" shrinkToFit="1"/>
      <protection hidden="1"/>
    </xf>
    <xf numFmtId="44" fontId="11" fillId="2" borderId="8" xfId="1" applyNumberFormat="1" applyFont="1" applyFill="1" applyBorder="1" applyAlignment="1" applyProtection="1">
      <alignment horizontal="left" vertical="center" shrinkToFit="1"/>
      <protection hidden="1"/>
    </xf>
    <xf numFmtId="44" fontId="8" fillId="4" borderId="8" xfId="2" applyFont="1" applyFill="1" applyBorder="1" applyAlignment="1" applyProtection="1">
      <alignment horizontal="left" vertical="center" shrinkToFit="1"/>
      <protection hidden="1"/>
    </xf>
    <xf numFmtId="44" fontId="8" fillId="6" borderId="8" xfId="2" applyFont="1" applyFill="1" applyBorder="1" applyAlignment="1" applyProtection="1">
      <alignment horizontal="left" vertical="center" shrinkToFit="1"/>
      <protection hidden="1"/>
    </xf>
    <xf numFmtId="4" fontId="9" fillId="0" borderId="8" xfId="0" applyNumberFormat="1" applyFont="1" applyBorder="1" applyAlignment="1" applyProtection="1">
      <alignment horizontal="center" vertical="center" shrinkToFit="1"/>
      <protection hidden="1"/>
    </xf>
    <xf numFmtId="44" fontId="11" fillId="2" borderId="14" xfId="2" applyFont="1" applyFill="1" applyBorder="1" applyAlignment="1" applyProtection="1">
      <alignment vertical="center" shrinkToFit="1"/>
      <protection hidden="1"/>
    </xf>
    <xf numFmtId="44" fontId="11" fillId="2" borderId="15" xfId="2" applyFont="1" applyFill="1" applyBorder="1" applyAlignment="1" applyProtection="1">
      <alignment vertical="center" shrinkToFit="1"/>
      <protection hidden="1"/>
    </xf>
    <xf numFmtId="10" fontId="11" fillId="2" borderId="15" xfId="1" applyNumberFormat="1" applyFont="1" applyFill="1" applyBorder="1" applyAlignment="1" applyProtection="1">
      <alignment horizontal="center" vertical="center" shrinkToFit="1"/>
      <protection hidden="1"/>
    </xf>
    <xf numFmtId="44" fontId="11" fillId="2" borderId="15" xfId="1" applyNumberFormat="1" applyFont="1" applyFill="1" applyBorder="1" applyAlignment="1" applyProtection="1">
      <alignment horizontal="center" vertical="center" shrinkToFit="1"/>
      <protection hidden="1"/>
    </xf>
    <xf numFmtId="44" fontId="11" fillId="4" borderId="14" xfId="2" applyFont="1" applyFill="1" applyBorder="1" applyAlignment="1" applyProtection="1">
      <alignment vertical="center" shrinkToFit="1"/>
      <protection hidden="1"/>
    </xf>
    <xf numFmtId="10" fontId="11" fillId="4" borderId="15" xfId="1" applyNumberFormat="1" applyFont="1" applyFill="1" applyBorder="1" applyAlignment="1" applyProtection="1">
      <alignment horizontal="center" vertical="center" shrinkToFit="1"/>
      <protection hidden="1"/>
    </xf>
    <xf numFmtId="44" fontId="11" fillId="4" borderId="15" xfId="1" applyNumberFormat="1" applyFont="1" applyFill="1" applyBorder="1" applyAlignment="1" applyProtection="1">
      <alignment horizontal="center" vertical="center" shrinkToFit="1"/>
      <protection hidden="1"/>
    </xf>
    <xf numFmtId="44" fontId="11" fillId="5" borderId="14" xfId="2" applyFont="1" applyFill="1" applyBorder="1" applyAlignment="1" applyProtection="1">
      <alignment vertical="center" shrinkToFit="1"/>
      <protection hidden="1"/>
    </xf>
    <xf numFmtId="10" fontId="11" fillId="5" borderId="15" xfId="1" applyNumberFormat="1" applyFont="1" applyFill="1" applyBorder="1" applyAlignment="1" applyProtection="1">
      <alignment horizontal="center" vertical="center" shrinkToFit="1"/>
      <protection hidden="1"/>
    </xf>
    <xf numFmtId="44" fontId="11" fillId="5" borderId="15" xfId="1" applyNumberFormat="1" applyFont="1" applyFill="1" applyBorder="1" applyAlignment="1" applyProtection="1">
      <alignment horizontal="center" vertical="center" shrinkToFit="1"/>
      <protection hidden="1"/>
    </xf>
    <xf numFmtId="10" fontId="11" fillId="5" borderId="8" xfId="1" applyNumberFormat="1" applyFont="1" applyFill="1" applyBorder="1" applyAlignment="1" applyProtection="1">
      <alignment horizontal="center" vertical="center" shrinkToFit="1"/>
      <protection hidden="1"/>
    </xf>
    <xf numFmtId="0" fontId="11" fillId="0" borderId="8" xfId="0" applyFont="1" applyBorder="1" applyAlignment="1" applyProtection="1">
      <alignment vertical="center" shrinkToFit="1"/>
      <protection hidden="1"/>
    </xf>
    <xf numFmtId="44" fontId="11" fillId="0" borderId="15" xfId="1" applyNumberFormat="1" applyFont="1" applyFill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 applyProtection="1">
      <alignment vertical="center" shrinkToFit="1"/>
      <protection hidden="1"/>
    </xf>
    <xf numFmtId="4" fontId="9" fillId="0" borderId="8" xfId="0" quotePrefix="1" applyNumberFormat="1" applyFont="1" applyBorder="1" applyAlignment="1">
      <alignment horizontal="center" vertical="center" wrapText="1"/>
    </xf>
    <xf numFmtId="44" fontId="9" fillId="5" borderId="8" xfId="1" applyNumberFormat="1" applyFont="1" applyFill="1" applyBorder="1" applyAlignment="1" applyProtection="1">
      <alignment horizontal="left" vertical="center" shrinkToFit="1"/>
      <protection locked="0"/>
    </xf>
    <xf numFmtId="44" fontId="9" fillId="5" borderId="8" xfId="2" applyFont="1" applyFill="1" applyBorder="1" applyAlignment="1" applyProtection="1">
      <alignment horizontal="center" vertical="center" shrinkToFit="1"/>
      <protection hidden="1"/>
    </xf>
    <xf numFmtId="44" fontId="6" fillId="3" borderId="23" xfId="2" applyFont="1" applyFill="1" applyBorder="1" applyAlignment="1" applyProtection="1">
      <alignment horizontal="center" vertical="center" wrapText="1" shrinkToFit="1"/>
      <protection hidden="1"/>
    </xf>
    <xf numFmtId="44" fontId="6" fillId="7" borderId="23" xfId="2" applyFont="1" applyFill="1" applyBorder="1" applyAlignment="1" applyProtection="1">
      <alignment horizontal="center" vertical="center" wrapText="1" shrinkToFit="1"/>
      <protection hidden="1"/>
    </xf>
    <xf numFmtId="10" fontId="6" fillId="3" borderId="23" xfId="2" applyNumberFormat="1" applyFont="1" applyFill="1" applyBorder="1" applyAlignment="1" applyProtection="1">
      <alignment horizontal="center" vertical="center" wrapText="1" shrinkToFit="1"/>
      <protection hidden="1"/>
    </xf>
    <xf numFmtId="10" fontId="11" fillId="8" borderId="8" xfId="1" applyNumberFormat="1" applyFont="1" applyFill="1" applyBorder="1" applyAlignment="1" applyProtection="1">
      <alignment horizontal="center" vertical="center" shrinkToFit="1"/>
      <protection hidden="1"/>
    </xf>
    <xf numFmtId="44" fontId="11" fillId="8" borderId="8" xfId="1" applyNumberFormat="1" applyFont="1" applyFill="1" applyBorder="1" applyAlignment="1" applyProtection="1">
      <alignment horizontal="left" vertical="center" shrinkToFit="1"/>
      <protection hidden="1"/>
    </xf>
    <xf numFmtId="0" fontId="0" fillId="2" borderId="8" xfId="0" applyFill="1" applyBorder="1"/>
    <xf numFmtId="49" fontId="9" fillId="2" borderId="8" xfId="0" applyNumberFormat="1" applyFont="1" applyFill="1" applyBorder="1" applyAlignment="1" applyProtection="1">
      <alignment horizontal="center" vertical="center" wrapText="1" shrinkToFit="1"/>
      <protection hidden="1"/>
    </xf>
    <xf numFmtId="49" fontId="9" fillId="2" borderId="11" xfId="0" applyNumberFormat="1" applyFont="1" applyFill="1" applyBorder="1" applyAlignment="1" applyProtection="1">
      <alignment horizontal="left" vertical="center" wrapText="1" shrinkToFit="1"/>
      <protection hidden="1"/>
    </xf>
    <xf numFmtId="44" fontId="9" fillId="2" borderId="8" xfId="2" applyFont="1" applyFill="1" applyBorder="1" applyAlignment="1" applyProtection="1">
      <alignment vertical="center" shrinkToFit="1"/>
      <protection hidden="1"/>
    </xf>
    <xf numFmtId="10" fontId="9" fillId="2" borderId="8" xfId="2" applyNumberFormat="1" applyFont="1" applyFill="1" applyBorder="1" applyAlignment="1" applyProtection="1">
      <alignment horizontal="center" vertical="center" shrinkToFit="1"/>
      <protection hidden="1"/>
    </xf>
    <xf numFmtId="44" fontId="9" fillId="2" borderId="8" xfId="2" applyFont="1" applyFill="1" applyBorder="1" applyAlignment="1" applyProtection="1">
      <alignment horizontal="left" vertical="center" shrinkToFit="1"/>
      <protection hidden="1"/>
    </xf>
    <xf numFmtId="44" fontId="13" fillId="2" borderId="8" xfId="2" applyFont="1" applyFill="1" applyBorder="1" applyAlignment="1" applyProtection="1">
      <alignment vertical="center" shrinkToFit="1"/>
      <protection hidden="1"/>
    </xf>
    <xf numFmtId="44" fontId="11" fillId="2" borderId="8" xfId="2" applyFont="1" applyFill="1" applyBorder="1" applyAlignment="1" applyProtection="1">
      <alignment horizontal="center" vertical="center" shrinkToFit="1"/>
      <protection hidden="1"/>
    </xf>
    <xf numFmtId="44" fontId="11" fillId="2" borderId="11" xfId="2" applyFont="1" applyFill="1" applyBorder="1" applyAlignment="1" applyProtection="1">
      <alignment vertical="center" shrinkToFit="1"/>
      <protection hidden="1"/>
    </xf>
    <xf numFmtId="0" fontId="17" fillId="0" borderId="0" xfId="0" applyFont="1"/>
    <xf numFmtId="0" fontId="0" fillId="2" borderId="0" xfId="0" applyFill="1"/>
    <xf numFmtId="0" fontId="4" fillId="0" borderId="4" xfId="0" applyFont="1" applyBorder="1" applyAlignment="1" applyProtection="1">
      <alignment horizontal="center" vertical="center"/>
      <protection hidden="1"/>
    </xf>
    <xf numFmtId="49" fontId="9" fillId="2" borderId="8" xfId="0" applyNumberFormat="1" applyFont="1" applyFill="1" applyBorder="1" applyAlignment="1" applyProtection="1">
      <alignment horizontal="left" vertical="center" wrapText="1" shrinkToFit="1"/>
      <protection hidden="1"/>
    </xf>
    <xf numFmtId="49" fontId="9" fillId="5" borderId="9" xfId="0" applyNumberFormat="1" applyFont="1" applyFill="1" applyBorder="1" applyAlignment="1" applyProtection="1">
      <alignment horizontal="center" vertical="center" wrapText="1" shrinkToFit="1"/>
      <protection hidden="1"/>
    </xf>
    <xf numFmtId="0" fontId="0" fillId="0" borderId="29" xfId="0" applyBorder="1"/>
    <xf numFmtId="0" fontId="0" fillId="0" borderId="30" xfId="0" applyBorder="1"/>
    <xf numFmtId="49" fontId="9" fillId="5" borderId="10" xfId="0" applyNumberFormat="1" applyFont="1" applyFill="1" applyBorder="1" applyAlignment="1" applyProtection="1">
      <alignment horizontal="center" vertical="center" wrapText="1" shrinkToFit="1"/>
      <protection hidden="1"/>
    </xf>
    <xf numFmtId="49" fontId="9" fillId="5" borderId="11" xfId="0" applyNumberFormat="1" applyFont="1" applyFill="1" applyBorder="1" applyAlignment="1" applyProtection="1">
      <alignment horizontal="center" vertical="center" wrapText="1" shrinkToFit="1"/>
      <protection hidden="1"/>
    </xf>
    <xf numFmtId="49" fontId="8" fillId="2" borderId="8" xfId="0" applyNumberFormat="1" applyFont="1" applyFill="1" applyBorder="1" applyAlignment="1" applyProtection="1">
      <alignment vertical="center" wrapText="1" shrinkToFit="1"/>
      <protection hidden="1"/>
    </xf>
    <xf numFmtId="49" fontId="8" fillId="2" borderId="8" xfId="0" applyNumberFormat="1" applyFont="1" applyFill="1" applyBorder="1" applyAlignment="1" applyProtection="1">
      <alignment horizontal="left" vertical="center" wrapText="1" shrinkToFit="1"/>
      <protection hidden="1"/>
    </xf>
    <xf numFmtId="44" fontId="8" fillId="2" borderId="8" xfId="2" applyFont="1" applyFill="1" applyBorder="1" applyAlignment="1" applyProtection="1">
      <alignment vertical="center" shrinkToFit="1"/>
      <protection hidden="1"/>
    </xf>
    <xf numFmtId="49" fontId="9" fillId="2" borderId="8" xfId="0" applyNumberFormat="1" applyFont="1" applyFill="1" applyBorder="1" applyAlignment="1" applyProtection="1">
      <alignment vertical="center" wrapText="1" shrinkToFit="1"/>
      <protection hidden="1"/>
    </xf>
    <xf numFmtId="49" fontId="8" fillId="2" borderId="8" xfId="0" applyNumberFormat="1" applyFont="1" applyFill="1" applyBorder="1" applyAlignment="1" applyProtection="1">
      <alignment horizontal="center" vertical="center" wrapText="1" shrinkToFit="1"/>
      <protection hidden="1"/>
    </xf>
    <xf numFmtId="10" fontId="6" fillId="4" borderId="32" xfId="1" applyNumberFormat="1" applyFont="1" applyFill="1" applyBorder="1" applyAlignment="1" applyProtection="1">
      <alignment vertical="center" wrapText="1" shrinkToFit="1"/>
      <protection hidden="1"/>
    </xf>
    <xf numFmtId="10" fontId="6" fillId="4" borderId="7" xfId="1" applyNumberFormat="1" applyFont="1" applyFill="1" applyBorder="1" applyAlignment="1" applyProtection="1">
      <alignment vertical="center" wrapText="1" shrinkToFit="1"/>
      <protection hidden="1"/>
    </xf>
    <xf numFmtId="49" fontId="11" fillId="0" borderId="15" xfId="0" applyNumberFormat="1" applyFont="1" applyBorder="1" applyAlignment="1" applyProtection="1">
      <alignment horizontal="center" vertical="center" wrapText="1" shrinkToFit="1"/>
      <protection hidden="1"/>
    </xf>
    <xf numFmtId="4" fontId="11" fillId="2" borderId="15" xfId="0" quotePrefix="1" applyNumberFormat="1" applyFont="1" applyFill="1" applyBorder="1" applyAlignment="1">
      <alignment vertical="center" wrapText="1"/>
    </xf>
    <xf numFmtId="49" fontId="11" fillId="2" borderId="0" xfId="0" applyNumberFormat="1" applyFont="1" applyFill="1" applyAlignment="1" applyProtection="1">
      <alignment horizontal="center" vertical="center" wrapText="1" shrinkToFit="1"/>
      <protection hidden="1"/>
    </xf>
    <xf numFmtId="4" fontId="11" fillId="2" borderId="0" xfId="0" quotePrefix="1" applyNumberFormat="1" applyFont="1" applyFill="1" applyAlignment="1">
      <alignment vertical="center" wrapText="1"/>
    </xf>
    <xf numFmtId="49" fontId="11" fillId="2" borderId="15" xfId="0" applyNumberFormat="1" applyFont="1" applyFill="1" applyBorder="1" applyAlignment="1" applyProtection="1">
      <alignment horizontal="center" vertical="center" shrinkToFit="1"/>
      <protection hidden="1"/>
    </xf>
    <xf numFmtId="4" fontId="9" fillId="0" borderId="15" xfId="0" quotePrefix="1" applyNumberFormat="1" applyFont="1" applyBorder="1" applyAlignment="1">
      <alignment horizontal="center" vertical="center" wrapText="1"/>
    </xf>
    <xf numFmtId="44" fontId="11" fillId="2" borderId="15" xfId="2" quotePrefix="1" applyFont="1" applyFill="1" applyBorder="1" applyAlignment="1" applyProtection="1">
      <alignment vertical="center" wrapText="1"/>
    </xf>
    <xf numFmtId="164" fontId="13" fillId="0" borderId="15" xfId="2" applyNumberFormat="1" applyFont="1" applyFill="1" applyBorder="1" applyAlignment="1" applyProtection="1">
      <alignment vertical="center" shrinkToFit="1"/>
      <protection hidden="1"/>
    </xf>
    <xf numFmtId="49" fontId="11" fillId="2" borderId="0" xfId="0" applyNumberFormat="1" applyFont="1" applyFill="1" applyAlignment="1" applyProtection="1">
      <alignment horizontal="center" vertical="center" shrinkToFit="1"/>
      <protection hidden="1"/>
    </xf>
    <xf numFmtId="4" fontId="11" fillId="2" borderId="0" xfId="0" quotePrefix="1" applyNumberFormat="1" applyFont="1" applyFill="1" applyAlignment="1">
      <alignment horizontal="center" vertical="center" wrapText="1"/>
    </xf>
    <xf numFmtId="44" fontId="11" fillId="2" borderId="0" xfId="2" quotePrefix="1" applyFont="1" applyFill="1" applyBorder="1" applyAlignment="1" applyProtection="1">
      <alignment vertical="center" wrapText="1"/>
    </xf>
    <xf numFmtId="164" fontId="13" fillId="2" borderId="0" xfId="2" applyNumberFormat="1" applyFont="1" applyFill="1" applyBorder="1" applyAlignment="1" applyProtection="1">
      <alignment vertical="center" shrinkToFit="1"/>
      <protection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44" fontId="10" fillId="5" borderId="8" xfId="2" applyFont="1" applyFill="1" applyBorder="1" applyAlignment="1" applyProtection="1">
      <alignment horizontal="center" vertical="center" shrinkToFit="1"/>
      <protection hidden="1"/>
    </xf>
    <xf numFmtId="4" fontId="11" fillId="2" borderId="8" xfId="0" applyNumberFormat="1" applyFont="1" applyFill="1" applyBorder="1" applyAlignment="1" applyProtection="1">
      <alignment horizontal="left" vertical="center" shrinkToFit="1"/>
      <protection hidden="1"/>
    </xf>
    <xf numFmtId="0" fontId="12" fillId="2" borderId="8" xfId="0" applyFont="1" applyFill="1" applyBorder="1" applyAlignment="1" applyProtection="1">
      <alignment horizontal="center" vertical="center" wrapText="1"/>
      <protection hidden="1"/>
    </xf>
    <xf numFmtId="49" fontId="11" fillId="2" borderId="8" xfId="0" applyNumberFormat="1" applyFont="1" applyFill="1" applyBorder="1" applyAlignment="1" applyProtection="1">
      <alignment horizontal="right" vertical="center" shrinkToFit="1"/>
      <protection hidden="1"/>
    </xf>
    <xf numFmtId="165" fontId="11" fillId="2" borderId="8" xfId="2" applyNumberFormat="1" applyFont="1" applyFill="1" applyBorder="1" applyAlignment="1" applyProtection="1">
      <alignment vertical="center" shrinkToFit="1"/>
      <protection hidden="1"/>
    </xf>
    <xf numFmtId="44" fontId="13" fillId="2" borderId="8" xfId="2" applyFont="1" applyFill="1" applyBorder="1" applyAlignment="1" applyProtection="1">
      <alignment horizontal="center" vertical="center" shrinkToFit="1"/>
      <protection hidden="1"/>
    </xf>
    <xf numFmtId="166" fontId="13" fillId="2" borderId="23" xfId="2" applyNumberFormat="1" applyFont="1" applyFill="1" applyBorder="1" applyAlignment="1" applyProtection="1">
      <alignment horizontal="center" vertical="center" shrinkToFit="1"/>
      <protection hidden="1"/>
    </xf>
    <xf numFmtId="44" fontId="13" fillId="0" borderId="8" xfId="2" applyFont="1" applyFill="1" applyBorder="1" applyAlignment="1" applyProtection="1">
      <alignment horizontal="center" vertical="center" shrinkToFit="1"/>
      <protection hidden="1"/>
    </xf>
    <xf numFmtId="164" fontId="13" fillId="0" borderId="8" xfId="2" applyNumberFormat="1" applyFont="1" applyFill="1" applyBorder="1" applyAlignment="1" applyProtection="1">
      <alignment horizontal="center" vertical="center" shrinkToFit="1"/>
      <protection hidden="1"/>
    </xf>
    <xf numFmtId="164" fontId="13" fillId="2" borderId="8" xfId="2" applyNumberFormat="1" applyFont="1" applyFill="1" applyBorder="1" applyAlignment="1" applyProtection="1">
      <alignment horizontal="center" vertical="center" shrinkToFit="1"/>
      <protection hidden="1"/>
    </xf>
    <xf numFmtId="44" fontId="8" fillId="4" borderId="11" xfId="2" applyFont="1" applyFill="1" applyBorder="1" applyAlignment="1" applyProtection="1">
      <alignment vertical="center" shrinkToFit="1"/>
      <protection hidden="1"/>
    </xf>
    <xf numFmtId="44" fontId="9" fillId="5" borderId="11" xfId="2" applyFont="1" applyFill="1" applyBorder="1" applyAlignment="1" applyProtection="1">
      <alignment vertical="center" shrinkToFit="1"/>
      <protection hidden="1"/>
    </xf>
    <xf numFmtId="44" fontId="9" fillId="2" borderId="11" xfId="2" applyFont="1" applyFill="1" applyBorder="1" applyAlignment="1" applyProtection="1">
      <alignment vertical="center" shrinkToFit="1"/>
      <protection hidden="1"/>
    </xf>
    <xf numFmtId="44" fontId="11" fillId="0" borderId="11" xfId="2" applyFont="1" applyBorder="1" applyAlignment="1" applyProtection="1">
      <alignment vertical="center" shrinkToFit="1"/>
      <protection hidden="1"/>
    </xf>
    <xf numFmtId="44" fontId="11" fillId="0" borderId="11" xfId="2" applyFont="1" applyFill="1" applyBorder="1" applyAlignment="1" applyProtection="1">
      <alignment vertical="center" shrinkToFit="1"/>
      <protection hidden="1"/>
    </xf>
    <xf numFmtId="44" fontId="11" fillId="8" borderId="11" xfId="2" applyFont="1" applyFill="1" applyBorder="1" applyAlignment="1" applyProtection="1">
      <alignment vertical="center" shrinkToFit="1"/>
      <protection hidden="1"/>
    </xf>
    <xf numFmtId="44" fontId="8" fillId="6" borderId="11" xfId="2" applyFont="1" applyFill="1" applyBorder="1" applyAlignment="1" applyProtection="1">
      <alignment vertical="center" shrinkToFit="1"/>
      <protection hidden="1"/>
    </xf>
    <xf numFmtId="0" fontId="11" fillId="5" borderId="11" xfId="0" applyFont="1" applyFill="1" applyBorder="1" applyAlignment="1" applyProtection="1">
      <alignment vertical="center" shrinkToFit="1"/>
      <protection hidden="1"/>
    </xf>
    <xf numFmtId="0" fontId="11" fillId="0" borderId="11" xfId="0" applyFont="1" applyBorder="1" applyAlignment="1" applyProtection="1">
      <alignment vertical="center" shrinkToFit="1"/>
      <protection hidden="1"/>
    </xf>
    <xf numFmtId="0" fontId="11" fillId="0" borderId="14" xfId="0" applyFont="1" applyBorder="1" applyAlignment="1" applyProtection="1">
      <alignment vertical="center" shrinkToFit="1"/>
      <protection hidden="1"/>
    </xf>
    <xf numFmtId="44" fontId="6" fillId="4" borderId="14" xfId="2" applyFont="1" applyFill="1" applyBorder="1" applyAlignment="1" applyProtection="1">
      <alignment vertical="center" shrinkToFit="1"/>
      <protection hidden="1"/>
    </xf>
    <xf numFmtId="49" fontId="11" fillId="0" borderId="0" xfId="0" applyNumberFormat="1" applyFont="1" applyAlignment="1" applyProtection="1">
      <alignment horizontal="center" vertical="center" wrapText="1" shrinkToFit="1"/>
      <protection hidden="1"/>
    </xf>
    <xf numFmtId="164" fontId="13" fillId="0" borderId="0" xfId="2" applyNumberFormat="1" applyFont="1" applyFill="1" applyBorder="1" applyAlignment="1" applyProtection="1">
      <alignment vertical="center" shrinkToFit="1"/>
      <protection hidden="1"/>
    </xf>
    <xf numFmtId="4" fontId="9" fillId="0" borderId="0" xfId="0" quotePrefix="1" applyNumberFormat="1" applyFont="1" applyAlignment="1">
      <alignment horizontal="center" vertical="center" wrapText="1"/>
    </xf>
    <xf numFmtId="49" fontId="8" fillId="2" borderId="36" xfId="0" applyNumberFormat="1" applyFont="1" applyFill="1" applyBorder="1" applyAlignment="1" applyProtection="1">
      <alignment horizontal="left" vertical="center" wrapText="1" shrinkToFit="1"/>
      <protection hidden="1"/>
    </xf>
    <xf numFmtId="49" fontId="9" fillId="2" borderId="36" xfId="0" applyNumberFormat="1" applyFont="1" applyFill="1" applyBorder="1" applyAlignment="1" applyProtection="1">
      <alignment horizontal="center" vertical="center" wrapText="1" shrinkToFit="1"/>
      <protection hidden="1"/>
    </xf>
    <xf numFmtId="49" fontId="9" fillId="2" borderId="36" xfId="0" applyNumberFormat="1" applyFont="1" applyFill="1" applyBorder="1" applyAlignment="1" applyProtection="1">
      <alignment horizontal="left" vertical="center" wrapText="1" shrinkToFit="1"/>
      <protection hidden="1"/>
    </xf>
    <xf numFmtId="44" fontId="9" fillId="2" borderId="36" xfId="2" applyFont="1" applyFill="1" applyBorder="1" applyAlignment="1" applyProtection="1">
      <alignment vertical="center" shrinkToFit="1"/>
      <protection hidden="1"/>
    </xf>
    <xf numFmtId="49" fontId="11" fillId="2" borderId="36" xfId="0" applyNumberFormat="1" applyFont="1" applyFill="1" applyBorder="1" applyAlignment="1" applyProtection="1">
      <alignment horizontal="center" vertical="center" wrapText="1" shrinkToFit="1"/>
      <protection hidden="1"/>
    </xf>
    <xf numFmtId="49" fontId="11" fillId="2" borderId="36" xfId="0" applyNumberFormat="1" applyFont="1" applyFill="1" applyBorder="1" applyAlignment="1" applyProtection="1">
      <alignment horizontal="left" vertical="center" wrapText="1" shrinkToFit="1"/>
      <protection hidden="1"/>
    </xf>
    <xf numFmtId="49" fontId="11" fillId="2" borderId="36" xfId="0" applyNumberFormat="1" applyFont="1" applyFill="1" applyBorder="1" applyAlignment="1" applyProtection="1">
      <alignment horizontal="center" vertical="center" shrinkToFit="1"/>
      <protection hidden="1"/>
    </xf>
    <xf numFmtId="4" fontId="11" fillId="2" borderId="36" xfId="0" applyNumberFormat="1" applyFont="1" applyFill="1" applyBorder="1" applyAlignment="1" applyProtection="1">
      <alignment horizontal="center" vertical="center" shrinkToFit="1"/>
      <protection hidden="1"/>
    </xf>
    <xf numFmtId="44" fontId="11" fillId="2" borderId="36" xfId="2" applyFont="1" applyFill="1" applyBorder="1" applyAlignment="1" applyProtection="1">
      <alignment vertical="center" shrinkToFit="1"/>
      <protection hidden="1"/>
    </xf>
    <xf numFmtId="164" fontId="13" fillId="2" borderId="36" xfId="2" applyNumberFormat="1" applyFont="1" applyFill="1" applyBorder="1" applyAlignment="1" applyProtection="1">
      <alignment vertical="center" shrinkToFit="1"/>
      <protection hidden="1"/>
    </xf>
    <xf numFmtId="4" fontId="9" fillId="2" borderId="36" xfId="0" applyNumberFormat="1" applyFont="1" applyFill="1" applyBorder="1" applyAlignment="1" applyProtection="1">
      <alignment horizontal="center" vertical="center" shrinkToFit="1"/>
      <protection hidden="1"/>
    </xf>
    <xf numFmtId="49" fontId="11" fillId="2" borderId="36" xfId="0" applyNumberFormat="1" applyFont="1" applyFill="1" applyBorder="1" applyAlignment="1" applyProtection="1">
      <alignment horizontal="left" vertical="center" shrinkToFit="1"/>
      <protection hidden="1"/>
    </xf>
    <xf numFmtId="49" fontId="8" fillId="2" borderId="36" xfId="0" applyNumberFormat="1" applyFont="1" applyFill="1" applyBorder="1" applyAlignment="1" applyProtection="1">
      <alignment horizontal="center" vertical="center" wrapText="1" shrinkToFit="1"/>
      <protection hidden="1"/>
    </xf>
    <xf numFmtId="44" fontId="8" fillId="2" borderId="36" xfId="2" applyFont="1" applyFill="1" applyBorder="1" applyAlignment="1" applyProtection="1">
      <alignment vertical="center" shrinkToFit="1"/>
      <protection hidden="1"/>
    </xf>
    <xf numFmtId="4" fontId="11" fillId="2" borderId="36" xfId="0" quotePrefix="1" applyNumberFormat="1" applyFont="1" applyFill="1" applyBorder="1" applyAlignment="1">
      <alignment vertical="center" wrapText="1"/>
    </xf>
    <xf numFmtId="4" fontId="11" fillId="2" borderId="36" xfId="0" quotePrefix="1" applyNumberFormat="1" applyFont="1" applyFill="1" applyBorder="1" applyAlignment="1">
      <alignment horizontal="center" vertical="center" wrapText="1"/>
    </xf>
    <xf numFmtId="4" fontId="9" fillId="2" borderId="36" xfId="0" quotePrefix="1" applyNumberFormat="1" applyFont="1" applyFill="1" applyBorder="1" applyAlignment="1">
      <alignment horizontal="center" vertical="center" wrapText="1"/>
    </xf>
    <xf numFmtId="44" fontId="11" fillId="2" borderId="36" xfId="2" applyFont="1" applyFill="1" applyBorder="1" applyAlignment="1" applyProtection="1">
      <alignment horizontal="left" vertical="center" shrinkToFit="1"/>
      <protection hidden="1"/>
    </xf>
    <xf numFmtId="49" fontId="13" fillId="2" borderId="36" xfId="0" applyNumberFormat="1" applyFont="1" applyFill="1" applyBorder="1" applyAlignment="1" applyProtection="1">
      <alignment horizontal="left" vertical="center" wrapText="1" shrinkToFit="1"/>
      <protection hidden="1"/>
    </xf>
    <xf numFmtId="4" fontId="11" fillId="2" borderId="36" xfId="0" applyNumberFormat="1" applyFont="1" applyFill="1" applyBorder="1" applyAlignment="1" applyProtection="1">
      <alignment horizontal="center" vertical="center" wrapText="1" shrinkToFit="1"/>
      <protection hidden="1"/>
    </xf>
    <xf numFmtId="44" fontId="11" fillId="2" borderId="36" xfId="2" applyFont="1" applyFill="1" applyBorder="1" applyAlignment="1" applyProtection="1">
      <alignment vertical="center" wrapText="1" shrinkToFit="1"/>
      <protection hidden="1"/>
    </xf>
    <xf numFmtId="164" fontId="13" fillId="2" borderId="36" xfId="2" applyNumberFormat="1" applyFont="1" applyFill="1" applyBorder="1" applyAlignment="1" applyProtection="1">
      <alignment vertical="center" wrapText="1" shrinkToFit="1"/>
      <protection hidden="1"/>
    </xf>
    <xf numFmtId="49" fontId="11" fillId="2" borderId="36" xfId="3" applyNumberFormat="1" applyFont="1" applyFill="1" applyBorder="1" applyAlignment="1" applyProtection="1">
      <alignment horizontal="left" vertical="center" wrapText="1" shrinkToFit="1"/>
      <protection hidden="1"/>
    </xf>
    <xf numFmtId="44" fontId="11" fillId="2" borderId="36" xfId="2" applyFont="1" applyFill="1" applyBorder="1" applyAlignment="1" applyProtection="1">
      <alignment horizontal="center" vertical="center" shrinkToFit="1"/>
      <protection hidden="1"/>
    </xf>
    <xf numFmtId="0" fontId="11" fillId="2" borderId="36" xfId="0" applyFont="1" applyFill="1" applyBorder="1" applyAlignment="1" applyProtection="1">
      <alignment vertical="center" shrinkToFit="1"/>
      <protection hidden="1"/>
    </xf>
    <xf numFmtId="44" fontId="11" fillId="2" borderId="36" xfId="0" applyNumberFormat="1" applyFont="1" applyFill="1" applyBorder="1" applyAlignment="1" applyProtection="1">
      <alignment vertical="center" shrinkToFit="1"/>
      <protection hidden="1"/>
    </xf>
    <xf numFmtId="10" fontId="9" fillId="2" borderId="36" xfId="2" applyNumberFormat="1" applyFont="1" applyFill="1" applyBorder="1" applyAlignment="1" applyProtection="1">
      <alignment horizontal="center" vertical="center" shrinkToFit="1"/>
      <protection hidden="1"/>
    </xf>
    <xf numFmtId="0" fontId="11" fillId="2" borderId="36" xfId="0" applyFont="1" applyFill="1" applyBorder="1" applyAlignment="1" applyProtection="1">
      <alignment vertical="center" wrapText="1" shrinkToFit="1"/>
      <protection hidden="1"/>
    </xf>
    <xf numFmtId="0" fontId="6" fillId="2" borderId="36" xfId="0" applyFont="1" applyFill="1" applyBorder="1" applyAlignment="1" applyProtection="1">
      <alignment horizontal="center" vertical="center"/>
      <protection hidden="1"/>
    </xf>
    <xf numFmtId="44" fontId="6" fillId="2" borderId="36" xfId="2" applyFont="1" applyFill="1" applyBorder="1" applyAlignment="1" applyProtection="1">
      <alignment vertical="center" shrinkToFit="1"/>
      <protection hidden="1"/>
    </xf>
    <xf numFmtId="0" fontId="0" fillId="2" borderId="36" xfId="0" applyFill="1" applyBorder="1"/>
    <xf numFmtId="49" fontId="13" fillId="2" borderId="8" xfId="0" applyNumberFormat="1" applyFont="1" applyFill="1" applyBorder="1" applyAlignment="1" applyProtection="1">
      <alignment horizontal="center" vertical="center" wrapText="1" shrinkToFit="1"/>
      <protection hidden="1"/>
    </xf>
    <xf numFmtId="49" fontId="13" fillId="2" borderId="8" xfId="0" applyNumberFormat="1" applyFont="1" applyFill="1" applyBorder="1" applyAlignment="1" applyProtection="1">
      <alignment horizontal="center" vertical="center" shrinkToFit="1"/>
      <protection hidden="1"/>
    </xf>
    <xf numFmtId="4" fontId="13" fillId="2" borderId="8" xfId="0" quotePrefix="1" applyNumberFormat="1" applyFont="1" applyFill="1" applyBorder="1" applyAlignment="1">
      <alignment horizontal="center" vertical="center" wrapText="1"/>
    </xf>
    <xf numFmtId="49" fontId="13" fillId="2" borderId="8" xfId="0" quotePrefix="1" applyNumberFormat="1" applyFont="1" applyFill="1" applyBorder="1" applyAlignment="1" applyProtection="1">
      <alignment horizontal="center" vertical="center" wrapText="1" shrinkToFit="1"/>
      <protection hidden="1"/>
    </xf>
    <xf numFmtId="166" fontId="13" fillId="2" borderId="8" xfId="2" applyNumberFormat="1" applyFont="1" applyFill="1" applyBorder="1" applyAlignment="1" applyProtection="1">
      <alignment horizontal="center" vertical="center" shrinkToFit="1"/>
      <protection hidden="1"/>
    </xf>
    <xf numFmtId="49" fontId="13" fillId="2" borderId="8" xfId="0" quotePrefix="1" applyNumberFormat="1" applyFont="1" applyFill="1" applyBorder="1" applyAlignment="1" applyProtection="1">
      <alignment horizontal="center" vertical="center" shrinkToFit="1"/>
      <protection hidden="1"/>
    </xf>
    <xf numFmtId="44" fontId="11" fillId="2" borderId="37" xfId="2" applyFont="1" applyFill="1" applyBorder="1" applyAlignment="1" applyProtection="1">
      <alignment vertical="center" shrinkToFit="1"/>
      <protection hidden="1"/>
    </xf>
    <xf numFmtId="4" fontId="11" fillId="2" borderId="8" xfId="0" applyNumberFormat="1" applyFont="1" applyFill="1" applyBorder="1" applyAlignment="1" applyProtection="1">
      <alignment horizontal="left" vertical="center" wrapText="1" shrinkToFit="1"/>
      <protection hidden="1"/>
    </xf>
    <xf numFmtId="49" fontId="11" fillId="2" borderId="8" xfId="0" quotePrefix="1" applyNumberFormat="1" applyFont="1" applyFill="1" applyBorder="1" applyAlignment="1" applyProtection="1">
      <alignment horizontal="center" vertical="center" shrinkToFit="1"/>
      <protection hidden="1"/>
    </xf>
    <xf numFmtId="44" fontId="11" fillId="2" borderId="0" xfId="2" applyFont="1" applyFill="1" applyBorder="1" applyAlignment="1" applyProtection="1">
      <alignment horizontal="center" vertical="center" shrinkToFit="1"/>
      <protection hidden="1"/>
    </xf>
    <xf numFmtId="166" fontId="13" fillId="2" borderId="0" xfId="2" applyNumberFormat="1" applyFont="1" applyFill="1" applyBorder="1" applyAlignment="1" applyProtection="1">
      <alignment horizontal="center" vertical="center" shrinkToFit="1"/>
      <protection hidden="1"/>
    </xf>
    <xf numFmtId="4" fontId="13" fillId="2" borderId="8" xfId="0" applyNumberFormat="1" applyFont="1" applyFill="1" applyBorder="1" applyAlignment="1" applyProtection="1">
      <alignment horizontal="left" vertical="center" shrinkToFit="1"/>
      <protection hidden="1"/>
    </xf>
    <xf numFmtId="49" fontId="13" fillId="2" borderId="8" xfId="0" applyNumberFormat="1" applyFont="1" applyFill="1" applyBorder="1" applyAlignment="1" applyProtection="1">
      <alignment vertical="center" wrapText="1" shrinkToFit="1"/>
      <protection hidden="1"/>
    </xf>
    <xf numFmtId="49" fontId="13" fillId="2" borderId="11" xfId="0" applyNumberFormat="1" applyFont="1" applyFill="1" applyBorder="1" applyAlignment="1" applyProtection="1">
      <alignment horizontal="left" vertical="center" wrapText="1" shrinkToFit="1"/>
      <protection hidden="1"/>
    </xf>
    <xf numFmtId="49" fontId="13" fillId="2" borderId="15" xfId="0" applyNumberFormat="1" applyFont="1" applyFill="1" applyBorder="1" applyAlignment="1" applyProtection="1">
      <alignment horizontal="center" vertical="center" wrapText="1" shrinkToFit="1"/>
      <protection hidden="1"/>
    </xf>
    <xf numFmtId="4" fontId="13" fillId="2" borderId="15" xfId="0" quotePrefix="1" applyNumberFormat="1" applyFont="1" applyFill="1" applyBorder="1" applyAlignment="1">
      <alignment horizontal="center" vertical="center" wrapText="1"/>
    </xf>
    <xf numFmtId="49" fontId="13" fillId="2" borderId="15" xfId="0" applyNumberFormat="1" applyFont="1" applyFill="1" applyBorder="1" applyAlignment="1" applyProtection="1">
      <alignment horizontal="center" vertical="center" shrinkToFit="1"/>
      <protection hidden="1"/>
    </xf>
    <xf numFmtId="4" fontId="13" fillId="2" borderId="15" xfId="0" applyNumberFormat="1" applyFont="1" applyFill="1" applyBorder="1" applyAlignment="1" applyProtection="1">
      <alignment horizontal="left" vertical="center" shrinkToFit="1"/>
      <protection hidden="1"/>
    </xf>
    <xf numFmtId="49" fontId="11" fillId="2" borderId="37" xfId="0" applyNumberFormat="1" applyFont="1" applyFill="1" applyBorder="1" applyAlignment="1" applyProtection="1">
      <alignment horizontal="center" vertical="center" wrapText="1" shrinkToFit="1"/>
      <protection hidden="1"/>
    </xf>
    <xf numFmtId="49" fontId="11" fillId="2" borderId="37" xfId="0" applyNumberFormat="1" applyFont="1" applyFill="1" applyBorder="1" applyAlignment="1" applyProtection="1">
      <alignment horizontal="left" vertical="center" wrapText="1" shrinkToFit="1"/>
      <protection hidden="1"/>
    </xf>
    <xf numFmtId="49" fontId="11" fillId="2" borderId="37" xfId="0" applyNumberFormat="1" applyFont="1" applyFill="1" applyBorder="1" applyAlignment="1" applyProtection="1">
      <alignment horizontal="center" vertical="center" shrinkToFit="1"/>
      <protection hidden="1"/>
    </xf>
    <xf numFmtId="4" fontId="11" fillId="2" borderId="37" xfId="0" applyNumberFormat="1" applyFont="1" applyFill="1" applyBorder="1" applyAlignment="1" applyProtection="1">
      <alignment horizontal="center" vertical="center" shrinkToFit="1"/>
      <protection hidden="1"/>
    </xf>
    <xf numFmtId="49" fontId="13" fillId="2" borderId="0" xfId="0" applyNumberFormat="1" applyFont="1" applyFill="1" applyAlignment="1" applyProtection="1">
      <alignment horizontal="center" vertical="center" wrapText="1" shrinkToFit="1"/>
      <protection hidden="1"/>
    </xf>
    <xf numFmtId="4" fontId="13" fillId="2" borderId="0" xfId="0" quotePrefix="1" applyNumberFormat="1" applyFont="1" applyFill="1" applyAlignment="1">
      <alignment horizontal="center" vertical="center" wrapText="1"/>
    </xf>
    <xf numFmtId="49" fontId="13" fillId="2" borderId="0" xfId="0" applyNumberFormat="1" applyFont="1" applyFill="1" applyAlignment="1" applyProtection="1">
      <alignment horizontal="center" vertical="center" shrinkToFit="1"/>
      <protection hidden="1"/>
    </xf>
    <xf numFmtId="4" fontId="13" fillId="2" borderId="0" xfId="0" applyNumberFormat="1" applyFont="1" applyFill="1" applyAlignment="1" applyProtection="1">
      <alignment horizontal="left" vertical="center" shrinkToFit="1"/>
      <protection hidden="1"/>
    </xf>
    <xf numFmtId="44" fontId="11" fillId="2" borderId="15" xfId="2" applyFont="1" applyFill="1" applyBorder="1" applyAlignment="1" applyProtection="1">
      <alignment horizontal="center" vertical="center" shrinkToFit="1"/>
      <protection hidden="1"/>
    </xf>
    <xf numFmtId="164" fontId="13" fillId="2" borderId="15" xfId="2" applyNumberFormat="1" applyFont="1" applyFill="1" applyBorder="1" applyAlignment="1" applyProtection="1">
      <alignment horizontal="center" vertical="center" shrinkToFit="1"/>
      <protection hidden="1"/>
    </xf>
    <xf numFmtId="164" fontId="13" fillId="2" borderId="37" xfId="2" applyNumberFormat="1" applyFont="1" applyFill="1" applyBorder="1" applyAlignment="1" applyProtection="1">
      <alignment vertical="center" shrinkToFit="1"/>
      <protection hidden="1"/>
    </xf>
    <xf numFmtId="164" fontId="13" fillId="2" borderId="0" xfId="2" applyNumberFormat="1" applyFont="1" applyFill="1" applyBorder="1" applyAlignment="1" applyProtection="1">
      <alignment horizontal="center" vertical="center" shrinkToFit="1"/>
      <protection hidden="1"/>
    </xf>
    <xf numFmtId="49" fontId="11" fillId="2" borderId="15" xfId="0" applyNumberFormat="1" applyFont="1" applyFill="1" applyBorder="1" applyAlignment="1" applyProtection="1">
      <alignment horizontal="center" vertical="center" wrapText="1" shrinkToFit="1"/>
      <protection hidden="1"/>
    </xf>
    <xf numFmtId="166" fontId="13" fillId="2" borderId="15" xfId="2" applyNumberFormat="1" applyFont="1" applyFill="1" applyBorder="1" applyAlignment="1" applyProtection="1">
      <alignment horizontal="center" vertical="center" shrinkToFit="1"/>
      <protection hidden="1"/>
    </xf>
    <xf numFmtId="49" fontId="9" fillId="2" borderId="23" xfId="0" applyNumberFormat="1" applyFont="1" applyFill="1" applyBorder="1" applyAlignment="1" applyProtection="1">
      <alignment horizontal="center" vertical="center" wrapText="1" shrinkToFit="1"/>
      <protection hidden="1"/>
    </xf>
    <xf numFmtId="49" fontId="9" fillId="2" borderId="23" xfId="0" applyNumberFormat="1" applyFont="1" applyFill="1" applyBorder="1" applyAlignment="1" applyProtection="1">
      <alignment vertical="center" wrapText="1" shrinkToFit="1"/>
      <protection hidden="1"/>
    </xf>
    <xf numFmtId="49" fontId="9" fillId="2" borderId="23" xfId="0" applyNumberFormat="1" applyFont="1" applyFill="1" applyBorder="1" applyAlignment="1" applyProtection="1">
      <alignment horizontal="left" vertical="center" wrapText="1" shrinkToFit="1"/>
      <protection hidden="1"/>
    </xf>
    <xf numFmtId="49" fontId="8" fillId="2" borderId="0" xfId="0" applyNumberFormat="1" applyFont="1" applyFill="1" applyAlignment="1" applyProtection="1">
      <alignment horizontal="center" vertical="center" wrapText="1" shrinkToFit="1"/>
      <protection hidden="1"/>
    </xf>
    <xf numFmtId="49" fontId="8" fillId="2" borderId="0" xfId="0" applyNumberFormat="1" applyFont="1" applyFill="1" applyAlignment="1" applyProtection="1">
      <alignment vertical="center" wrapText="1" shrinkToFit="1"/>
      <protection hidden="1"/>
    </xf>
    <xf numFmtId="49" fontId="8" fillId="2" borderId="0" xfId="0" applyNumberFormat="1" applyFont="1" applyFill="1" applyAlignment="1" applyProtection="1">
      <alignment horizontal="left" vertical="center" wrapText="1" shrinkToFit="1"/>
      <protection hidden="1"/>
    </xf>
    <xf numFmtId="49" fontId="13" fillId="2" borderId="15" xfId="0" applyNumberFormat="1" applyFont="1" applyFill="1" applyBorder="1" applyAlignment="1" applyProtection="1">
      <alignment horizontal="left" vertical="center" wrapText="1" shrinkToFit="1"/>
      <protection hidden="1"/>
    </xf>
    <xf numFmtId="49" fontId="13" fillId="2" borderId="13" xfId="0" applyNumberFormat="1" applyFont="1" applyFill="1" applyBorder="1" applyAlignment="1" applyProtection="1">
      <alignment horizontal="center" vertical="center" wrapText="1" shrinkToFit="1"/>
      <protection hidden="1"/>
    </xf>
    <xf numFmtId="4" fontId="13" fillId="2" borderId="13" xfId="0" quotePrefix="1" applyNumberFormat="1" applyFont="1" applyFill="1" applyBorder="1" applyAlignment="1">
      <alignment vertical="center" wrapText="1"/>
    </xf>
    <xf numFmtId="49" fontId="13" fillId="2" borderId="13" xfId="0" applyNumberFormat="1" applyFont="1" applyFill="1" applyBorder="1" applyAlignment="1" applyProtection="1">
      <alignment horizontal="center" vertical="center" shrinkToFit="1"/>
      <protection hidden="1"/>
    </xf>
    <xf numFmtId="4" fontId="13" fillId="2" borderId="13" xfId="0" applyNumberFormat="1" applyFont="1" applyFill="1" applyBorder="1" applyAlignment="1" applyProtection="1">
      <alignment horizontal="left" vertical="center" shrinkToFit="1"/>
      <protection hidden="1"/>
    </xf>
    <xf numFmtId="44" fontId="11" fillId="2" borderId="13" xfId="2" applyFont="1" applyFill="1" applyBorder="1" applyAlignment="1" applyProtection="1">
      <alignment horizontal="center" vertical="center" shrinkToFit="1"/>
      <protection hidden="1"/>
    </xf>
    <xf numFmtId="164" fontId="13" fillId="2" borderId="13" xfId="2" applyNumberFormat="1" applyFont="1" applyFill="1" applyBorder="1" applyAlignment="1" applyProtection="1">
      <alignment horizontal="center" vertical="center" shrinkToFit="1"/>
      <protection hidden="1"/>
    </xf>
    <xf numFmtId="44" fontId="13" fillId="2" borderId="15" xfId="2" applyFont="1" applyFill="1" applyBorder="1" applyAlignment="1" applyProtection="1">
      <alignment horizontal="center" vertical="center" shrinkToFit="1"/>
      <protection hidden="1"/>
    </xf>
    <xf numFmtId="49" fontId="9" fillId="2" borderId="37" xfId="0" applyNumberFormat="1" applyFont="1" applyFill="1" applyBorder="1" applyAlignment="1" applyProtection="1">
      <alignment horizontal="center" vertical="center" wrapText="1" shrinkToFit="1"/>
      <protection hidden="1"/>
    </xf>
    <xf numFmtId="44" fontId="13" fillId="2" borderId="13" xfId="2" applyFont="1" applyFill="1" applyBorder="1" applyAlignment="1" applyProtection="1">
      <alignment horizontal="center" vertical="center" shrinkToFit="1"/>
      <protection hidden="1"/>
    </xf>
    <xf numFmtId="49" fontId="13" fillId="2" borderId="15" xfId="0" applyNumberFormat="1" applyFont="1" applyFill="1" applyBorder="1" applyAlignment="1" applyProtection="1">
      <alignment horizontal="right" vertical="center" shrinkToFit="1"/>
      <protection hidden="1"/>
    </xf>
    <xf numFmtId="4" fontId="9" fillId="2" borderId="37" xfId="0" applyNumberFormat="1" applyFont="1" applyFill="1" applyBorder="1" applyAlignment="1" applyProtection="1">
      <alignment horizontal="center" vertical="center" shrinkToFit="1"/>
      <protection hidden="1"/>
    </xf>
    <xf numFmtId="49" fontId="11" fillId="2" borderId="0" xfId="0" applyNumberFormat="1" applyFont="1" applyFill="1" applyAlignment="1" applyProtection="1">
      <alignment horizontal="left" vertical="center" wrapText="1" shrinkToFit="1"/>
      <protection hidden="1"/>
    </xf>
    <xf numFmtId="4" fontId="11" fillId="2" borderId="0" xfId="0" applyNumberFormat="1" applyFont="1" applyFill="1" applyAlignment="1" applyProtection="1">
      <alignment horizontal="center" vertical="center" shrinkToFit="1"/>
      <protection hidden="1"/>
    </xf>
    <xf numFmtId="44" fontId="11" fillId="2" borderId="41" xfId="2" applyFont="1" applyFill="1" applyBorder="1" applyAlignment="1" applyProtection="1">
      <alignment vertical="center" shrinkToFit="1"/>
      <protection hidden="1"/>
    </xf>
    <xf numFmtId="4" fontId="11" fillId="2" borderId="15" xfId="0" applyNumberFormat="1" applyFont="1" applyFill="1" applyBorder="1" applyAlignment="1" applyProtection="1">
      <alignment horizontal="left" vertical="center" shrinkToFit="1"/>
      <protection hidden="1"/>
    </xf>
    <xf numFmtId="4" fontId="11" fillId="2" borderId="39" xfId="0" quotePrefix="1" applyNumberFormat="1" applyFont="1" applyFill="1" applyBorder="1" applyAlignment="1">
      <alignment vertical="center" wrapText="1"/>
    </xf>
    <xf numFmtId="49" fontId="11" fillId="2" borderId="39" xfId="0" applyNumberFormat="1" applyFont="1" applyFill="1" applyBorder="1" applyAlignment="1" applyProtection="1">
      <alignment horizontal="center" vertical="center" shrinkToFit="1"/>
      <protection hidden="1"/>
    </xf>
    <xf numFmtId="4" fontId="9" fillId="2" borderId="39" xfId="0" quotePrefix="1" applyNumberFormat="1" applyFont="1" applyFill="1" applyBorder="1" applyAlignment="1">
      <alignment horizontal="center" vertical="center" wrapText="1"/>
    </xf>
    <xf numFmtId="44" fontId="11" fillId="2" borderId="39" xfId="2" applyFont="1" applyFill="1" applyBorder="1" applyAlignment="1" applyProtection="1">
      <alignment vertical="center" shrinkToFit="1"/>
      <protection hidden="1"/>
    </xf>
    <xf numFmtId="164" fontId="13" fillId="2" borderId="39" xfId="2" applyNumberFormat="1" applyFont="1" applyFill="1" applyBorder="1" applyAlignment="1" applyProtection="1">
      <alignment vertical="center" shrinkToFit="1"/>
      <protection hidden="1"/>
    </xf>
    <xf numFmtId="44" fontId="11" fillId="2" borderId="39" xfId="2" applyFont="1" applyFill="1" applyBorder="1" applyAlignment="1" applyProtection="1">
      <alignment horizontal="left" vertical="center" shrinkToFit="1"/>
      <protection hidden="1"/>
    </xf>
    <xf numFmtId="49" fontId="9" fillId="2" borderId="0" xfId="0" applyNumberFormat="1" applyFont="1" applyFill="1" applyAlignment="1" applyProtection="1">
      <alignment horizontal="left" vertical="center" wrapText="1" shrinkToFit="1"/>
      <protection hidden="1"/>
    </xf>
    <xf numFmtId="49" fontId="11" fillId="2" borderId="39" xfId="0" applyNumberFormat="1" applyFont="1" applyFill="1" applyBorder="1" applyAlignment="1" applyProtection="1">
      <alignment horizontal="center" vertical="center" wrapText="1" shrinkToFit="1"/>
      <protection hidden="1"/>
    </xf>
    <xf numFmtId="49" fontId="9" fillId="2" borderId="0" xfId="0" applyNumberFormat="1" applyFont="1" applyFill="1" applyAlignment="1" applyProtection="1">
      <alignment horizontal="center" vertical="center" wrapText="1" shrinkToFit="1"/>
      <protection hidden="1"/>
    </xf>
    <xf numFmtId="44" fontId="13" fillId="2" borderId="15" xfId="2" applyFont="1" applyFill="1" applyBorder="1" applyAlignment="1" applyProtection="1">
      <alignment vertical="center" shrinkToFit="1"/>
      <protection hidden="1"/>
    </xf>
    <xf numFmtId="10" fontId="6" fillId="4" borderId="0" xfId="1" applyNumberFormat="1" applyFont="1" applyFill="1" applyBorder="1" applyAlignment="1" applyProtection="1">
      <alignment vertical="center" wrapText="1" shrinkToFit="1"/>
      <protection hidden="1"/>
    </xf>
    <xf numFmtId="44" fontId="9" fillId="2" borderId="0" xfId="2" applyFont="1" applyFill="1" applyBorder="1" applyAlignment="1" applyProtection="1">
      <alignment vertical="center" shrinkToFit="1"/>
      <protection hidden="1"/>
    </xf>
    <xf numFmtId="44" fontId="11" fillId="2" borderId="42" xfId="2" applyFont="1" applyFill="1" applyBorder="1" applyAlignment="1" applyProtection="1">
      <alignment vertical="center" shrinkToFit="1"/>
      <protection hidden="1"/>
    </xf>
    <xf numFmtId="44" fontId="13" fillId="2" borderId="43" xfId="2" applyFont="1" applyFill="1" applyBorder="1" applyAlignment="1" applyProtection="1">
      <alignment vertical="center" shrinkToFit="1"/>
      <protection hidden="1"/>
    </xf>
    <xf numFmtId="44" fontId="11" fillId="2" borderId="40" xfId="2" applyFont="1" applyFill="1" applyBorder="1" applyAlignment="1" applyProtection="1">
      <alignment vertical="center" shrinkToFit="1"/>
      <protection hidden="1"/>
    </xf>
    <xf numFmtId="44" fontId="11" fillId="2" borderId="44" xfId="2" applyFont="1" applyFill="1" applyBorder="1" applyAlignment="1" applyProtection="1">
      <alignment vertical="center" shrinkToFit="1"/>
      <protection hidden="1"/>
    </xf>
    <xf numFmtId="49" fontId="8" fillId="2" borderId="15" xfId="0" applyNumberFormat="1" applyFont="1" applyFill="1" applyBorder="1" applyAlignment="1" applyProtection="1">
      <alignment horizontal="left" vertical="center" wrapText="1" shrinkToFit="1"/>
      <protection hidden="1"/>
    </xf>
    <xf numFmtId="49" fontId="11" fillId="2" borderId="8" xfId="0" applyNumberFormat="1" applyFont="1" applyFill="1" applyBorder="1" applyAlignment="1" applyProtection="1">
      <alignment vertical="center" wrapText="1" shrinkToFit="1"/>
      <protection hidden="1"/>
    </xf>
    <xf numFmtId="0" fontId="11" fillId="0" borderId="0" xfId="0" applyFont="1"/>
    <xf numFmtId="4" fontId="13" fillId="2" borderId="8" xfId="0" applyNumberFormat="1" applyFont="1" applyFill="1" applyBorder="1" applyAlignment="1" applyProtection="1">
      <alignment horizontal="left" vertical="center" wrapText="1" shrinkToFit="1"/>
      <protection hidden="1"/>
    </xf>
    <xf numFmtId="49" fontId="13" fillId="2" borderId="15" xfId="0" quotePrefix="1" applyNumberFormat="1" applyFont="1" applyFill="1" applyBorder="1" applyAlignment="1" applyProtection="1">
      <alignment horizontal="center" vertical="center" shrinkToFit="1"/>
      <protection hidden="1"/>
    </xf>
    <xf numFmtId="166" fontId="13" fillId="2" borderId="15" xfId="2" quotePrefix="1" applyNumberFormat="1" applyFont="1" applyFill="1" applyBorder="1" applyAlignment="1" applyProtection="1">
      <alignment horizontal="center" vertical="center" shrinkToFit="1"/>
      <protection hidden="1"/>
    </xf>
    <xf numFmtId="167" fontId="11" fillId="2" borderId="8" xfId="2" applyNumberFormat="1" applyFont="1" applyFill="1" applyBorder="1" applyAlignment="1" applyProtection="1">
      <alignment horizontal="center" vertical="center" shrinkToFit="1"/>
      <protection hidden="1"/>
    </xf>
    <xf numFmtId="166" fontId="13" fillId="2" borderId="23" xfId="2" quotePrefix="1" applyNumberFormat="1" applyFont="1" applyFill="1" applyBorder="1" applyAlignment="1" applyProtection="1">
      <alignment horizontal="center" vertical="center" shrinkToFit="1"/>
      <protection hidden="1"/>
    </xf>
    <xf numFmtId="49" fontId="11" fillId="2" borderId="15" xfId="0" quotePrefix="1" applyNumberFormat="1" applyFont="1" applyFill="1" applyBorder="1" applyAlignment="1" applyProtection="1">
      <alignment horizontal="center" vertical="center" shrinkToFit="1"/>
      <protection hidden="1"/>
    </xf>
    <xf numFmtId="49" fontId="11" fillId="2" borderId="13" xfId="0" applyNumberFormat="1" applyFont="1" applyFill="1" applyBorder="1" applyAlignment="1" applyProtection="1">
      <alignment horizontal="center" vertical="center" wrapText="1" shrinkToFit="1"/>
      <protection hidden="1"/>
    </xf>
    <xf numFmtId="49" fontId="8" fillId="2" borderId="13" xfId="0" applyNumberFormat="1" applyFont="1" applyFill="1" applyBorder="1" applyAlignment="1" applyProtection="1">
      <alignment horizontal="center" vertical="center" wrapText="1" shrinkToFit="1"/>
      <protection hidden="1"/>
    </xf>
    <xf numFmtId="164" fontId="13" fillId="2" borderId="45" xfId="2" applyNumberFormat="1" applyFont="1" applyFill="1" applyBorder="1" applyAlignment="1" applyProtection="1">
      <alignment horizontal="center" vertical="center" shrinkToFit="1"/>
      <protection hidden="1"/>
    </xf>
    <xf numFmtId="44" fontId="11" fillId="2" borderId="46" xfId="2" applyFont="1" applyFill="1" applyBorder="1" applyAlignment="1" applyProtection="1">
      <alignment vertical="center" shrinkToFit="1"/>
      <protection hidden="1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/>
    </xf>
    <xf numFmtId="2" fontId="13" fillId="2" borderId="0" xfId="0" applyNumberFormat="1" applyFont="1" applyFill="1" applyAlignment="1">
      <alignment horizontal="center" vertical="center" wrapText="1"/>
    </xf>
    <xf numFmtId="44" fontId="13" fillId="2" borderId="0" xfId="0" applyNumberFormat="1" applyFont="1" applyFill="1" applyAlignment="1">
      <alignment vertical="center" wrapText="1"/>
    </xf>
    <xf numFmtId="49" fontId="9" fillId="2" borderId="0" xfId="0" applyNumberFormat="1" applyFont="1" applyFill="1" applyAlignment="1" applyProtection="1">
      <alignment vertical="center" wrapText="1" shrinkToFit="1"/>
      <protection hidden="1"/>
    </xf>
    <xf numFmtId="49" fontId="13" fillId="2" borderId="15" xfId="0" applyNumberFormat="1" applyFont="1" applyFill="1" applyBorder="1" applyAlignment="1" applyProtection="1">
      <alignment horizontal="right" vertical="center" wrapText="1" shrinkToFit="1"/>
      <protection hidden="1"/>
    </xf>
    <xf numFmtId="49" fontId="13" fillId="2" borderId="0" xfId="0" applyNumberFormat="1" applyFont="1" applyFill="1" applyAlignment="1" applyProtection="1">
      <alignment horizontal="left" vertical="center" wrapText="1" shrinkToFit="1"/>
      <protection hidden="1"/>
    </xf>
    <xf numFmtId="166" fontId="13" fillId="2" borderId="13" xfId="2" applyNumberFormat="1" applyFont="1" applyFill="1" applyBorder="1" applyAlignment="1" applyProtection="1">
      <alignment horizontal="center" vertical="center" shrinkToFit="1"/>
      <protection hidden="1"/>
    </xf>
    <xf numFmtId="44" fontId="11" fillId="2" borderId="13" xfId="2" applyFont="1" applyFill="1" applyBorder="1" applyAlignment="1" applyProtection="1">
      <alignment vertical="center" shrinkToFit="1"/>
      <protection hidden="1"/>
    </xf>
    <xf numFmtId="49" fontId="11" fillId="2" borderId="13" xfId="0" applyNumberFormat="1" applyFont="1" applyFill="1" applyBorder="1" applyAlignment="1" applyProtection="1">
      <alignment horizontal="center" vertical="center" shrinkToFit="1"/>
      <protection hidden="1"/>
    </xf>
    <xf numFmtId="4" fontId="11" fillId="2" borderId="13" xfId="0" applyNumberFormat="1" applyFont="1" applyFill="1" applyBorder="1" applyAlignment="1" applyProtection="1">
      <alignment horizontal="left" vertical="center" shrinkToFit="1"/>
      <protection hidden="1"/>
    </xf>
    <xf numFmtId="44" fontId="11" fillId="2" borderId="47" xfId="2" applyFont="1" applyFill="1" applyBorder="1" applyAlignment="1" applyProtection="1">
      <alignment vertical="center" shrinkToFit="1"/>
      <protection hidden="1"/>
    </xf>
    <xf numFmtId="44" fontId="11" fillId="2" borderId="48" xfId="2" applyFont="1" applyFill="1" applyBorder="1" applyAlignment="1" applyProtection="1">
      <alignment vertical="center" shrinkToFit="1"/>
      <protection hidden="1"/>
    </xf>
    <xf numFmtId="44" fontId="11" fillId="2" borderId="49" xfId="2" applyFont="1" applyFill="1" applyBorder="1" applyAlignment="1" applyProtection="1">
      <alignment vertical="center" shrinkToFit="1"/>
      <protection hidden="1"/>
    </xf>
    <xf numFmtId="0" fontId="11" fillId="0" borderId="0" xfId="0" applyFont="1" applyAlignment="1">
      <alignment wrapText="1"/>
    </xf>
    <xf numFmtId="168" fontId="11" fillId="2" borderId="8" xfId="2" applyNumberFormat="1" applyFont="1" applyFill="1" applyBorder="1" applyAlignment="1" applyProtection="1">
      <alignment vertical="center" shrinkToFit="1"/>
      <protection hidden="1"/>
    </xf>
    <xf numFmtId="49" fontId="13" fillId="2" borderId="15" xfId="0" quotePrefix="1" applyNumberFormat="1" applyFont="1" applyFill="1" applyBorder="1" applyAlignment="1" applyProtection="1">
      <alignment horizontal="center" vertical="center" wrapText="1" shrinkToFit="1"/>
      <protection hidden="1"/>
    </xf>
    <xf numFmtId="0" fontId="11" fillId="0" borderId="0" xfId="0" applyFont="1" applyAlignment="1">
      <alignment vertical="center"/>
    </xf>
    <xf numFmtId="4" fontId="11" fillId="2" borderId="13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69" fontId="7" fillId="2" borderId="7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70" fontId="7" fillId="0" borderId="71" xfId="7" applyNumberFormat="1" applyFont="1" applyFill="1" applyBorder="1" applyAlignment="1">
      <alignment horizontal="center" vertical="center"/>
    </xf>
    <xf numFmtId="0" fontId="13" fillId="0" borderId="0" xfId="0" applyFont="1"/>
    <xf numFmtId="170" fontId="20" fillId="0" borderId="0" xfId="0" applyNumberFormat="1" applyFont="1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170" fontId="22" fillId="0" borderId="0" xfId="0" applyNumberFormat="1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10" fontId="7" fillId="0" borderId="15" xfId="8" applyNumberFormat="1" applyFont="1" applyBorder="1" applyAlignment="1">
      <alignment horizontal="center" vertical="center" wrapText="1"/>
    </xf>
    <xf numFmtId="10" fontId="7" fillId="0" borderId="15" xfId="8" applyNumberFormat="1" applyFont="1" applyBorder="1" applyAlignment="1">
      <alignment horizontal="right" vertical="center" wrapText="1"/>
    </xf>
    <xf numFmtId="10" fontId="7" fillId="0" borderId="8" xfId="8" applyNumberFormat="1" applyFont="1" applyBorder="1" applyAlignment="1">
      <alignment vertical="center"/>
    </xf>
    <xf numFmtId="10" fontId="7" fillId="0" borderId="17" xfId="2" applyNumberFormat="1" applyFont="1" applyBorder="1" applyAlignment="1" applyProtection="1">
      <alignment vertical="center"/>
    </xf>
    <xf numFmtId="10" fontId="7" fillId="0" borderId="8" xfId="8" applyNumberFormat="1" applyFont="1" applyBorder="1" applyAlignment="1">
      <alignment vertical="center" wrapText="1"/>
    </xf>
    <xf numFmtId="10" fontId="7" fillId="0" borderId="9" xfId="8" applyNumberFormat="1" applyFont="1" applyBorder="1" applyAlignment="1">
      <alignment vertical="center"/>
    </xf>
    <xf numFmtId="0" fontId="0" fillId="10" borderId="0" xfId="0" applyFill="1"/>
    <xf numFmtId="10" fontId="7" fillId="13" borderId="8" xfId="8" applyNumberFormat="1" applyFont="1" applyFill="1" applyBorder="1" applyAlignment="1">
      <alignment horizontal="center" vertical="center" wrapText="1"/>
    </xf>
    <xf numFmtId="44" fontId="7" fillId="13" borderId="8" xfId="8" applyNumberFormat="1" applyFont="1" applyFill="1" applyBorder="1" applyAlignment="1">
      <alignment horizontal="center" vertical="center" wrapText="1"/>
    </xf>
    <xf numFmtId="44" fontId="7" fillId="13" borderId="8" xfId="7" applyFont="1" applyFill="1" applyBorder="1" applyAlignment="1">
      <alignment vertical="center"/>
    </xf>
    <xf numFmtId="10" fontId="7" fillId="13" borderId="8" xfId="8" applyNumberFormat="1" applyFont="1" applyFill="1" applyBorder="1" applyAlignment="1">
      <alignment vertical="center"/>
    </xf>
    <xf numFmtId="10" fontId="7" fillId="13" borderId="9" xfId="8" applyNumberFormat="1" applyFont="1" applyFill="1" applyBorder="1" applyAlignment="1">
      <alignment vertical="center"/>
    </xf>
    <xf numFmtId="44" fontId="7" fillId="13" borderId="17" xfId="2" applyFont="1" applyFill="1" applyBorder="1" applyAlignment="1" applyProtection="1">
      <alignment vertical="center"/>
    </xf>
    <xf numFmtId="44" fontId="7" fillId="13" borderId="9" xfId="7" applyFont="1" applyFill="1" applyBorder="1" applyAlignment="1">
      <alignment vertical="center"/>
    </xf>
    <xf numFmtId="0" fontId="15" fillId="12" borderId="74" xfId="3" applyFont="1" applyFill="1" applyBorder="1" applyAlignment="1">
      <alignment horizontal="center" vertical="center" wrapText="1"/>
    </xf>
    <xf numFmtId="0" fontId="15" fillId="12" borderId="8" xfId="3" applyFont="1" applyFill="1" applyBorder="1" applyAlignment="1">
      <alignment horizontal="center" vertical="center" wrapText="1"/>
    </xf>
    <xf numFmtId="17" fontId="15" fillId="12" borderId="8" xfId="3" applyNumberFormat="1" applyFont="1" applyFill="1" applyBorder="1" applyAlignment="1">
      <alignment horizontal="center" vertical="center"/>
    </xf>
    <xf numFmtId="0" fontId="15" fillId="12" borderId="17" xfId="3" applyFont="1" applyFill="1" applyBorder="1" applyAlignment="1">
      <alignment horizontal="center" vertical="center"/>
    </xf>
    <xf numFmtId="0" fontId="15" fillId="12" borderId="11" xfId="3" applyFont="1" applyFill="1" applyBorder="1" applyAlignment="1">
      <alignment horizontal="right" vertical="center" wrapText="1"/>
    </xf>
    <xf numFmtId="10" fontId="7" fillId="12" borderId="8" xfId="8" applyNumberFormat="1" applyFont="1" applyFill="1" applyBorder="1" applyAlignment="1">
      <alignment vertical="center"/>
    </xf>
    <xf numFmtId="171" fontId="15" fillId="12" borderId="17" xfId="3" applyNumberFormat="1" applyFont="1" applyFill="1" applyBorder="1" applyAlignment="1">
      <alignment horizontal="center" vertical="center"/>
    </xf>
    <xf numFmtId="44" fontId="7" fillId="12" borderId="8" xfId="7" applyFont="1" applyFill="1" applyBorder="1" applyAlignment="1">
      <alignment vertical="center"/>
    </xf>
    <xf numFmtId="0" fontId="15" fillId="12" borderId="76" xfId="3" applyFont="1" applyFill="1" applyBorder="1" applyAlignment="1">
      <alignment horizontal="right" vertical="center" wrapText="1"/>
    </xf>
    <xf numFmtId="0" fontId="1" fillId="10" borderId="0" xfId="0" applyFont="1" applyFill="1" applyAlignment="1">
      <alignment vertical="center"/>
    </xf>
    <xf numFmtId="0" fontId="20" fillId="0" borderId="78" xfId="0" applyFont="1" applyBorder="1" applyAlignment="1">
      <alignment horizontal="center" vertical="center"/>
    </xf>
    <xf numFmtId="169" fontId="7" fillId="2" borderId="79" xfId="0" applyNumberFormat="1" applyFont="1" applyFill="1" applyBorder="1" applyAlignment="1">
      <alignment horizontal="left" vertical="center" wrapText="1"/>
    </xf>
    <xf numFmtId="0" fontId="20" fillId="0" borderId="79" xfId="0" applyFont="1" applyBorder="1" applyAlignment="1">
      <alignment horizontal="center" vertical="center"/>
    </xf>
    <xf numFmtId="2" fontId="20" fillId="0" borderId="79" xfId="0" applyNumberFormat="1" applyFont="1" applyBorder="1" applyAlignment="1">
      <alignment horizontal="center" vertical="center"/>
    </xf>
    <xf numFmtId="170" fontId="20" fillId="0" borderId="79" xfId="0" applyNumberFormat="1" applyFont="1" applyBorder="1" applyAlignment="1">
      <alignment horizontal="center" vertical="center"/>
    </xf>
    <xf numFmtId="10" fontId="20" fillId="0" borderId="79" xfId="0" applyNumberFormat="1" applyFont="1" applyBorder="1" applyAlignment="1">
      <alignment horizontal="center" vertical="center"/>
    </xf>
    <xf numFmtId="44" fontId="20" fillId="0" borderId="79" xfId="0" applyNumberFormat="1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2" fontId="20" fillId="0" borderId="71" xfId="0" applyNumberFormat="1" applyFont="1" applyBorder="1" applyAlignment="1">
      <alignment horizontal="center" vertical="center"/>
    </xf>
    <xf numFmtId="10" fontId="20" fillId="0" borderId="71" xfId="0" applyNumberFormat="1" applyFont="1" applyBorder="1" applyAlignment="1">
      <alignment horizontal="center" vertical="center"/>
    </xf>
    <xf numFmtId="170" fontId="20" fillId="0" borderId="71" xfId="0" applyNumberFormat="1" applyFont="1" applyBorder="1" applyAlignment="1">
      <alignment horizontal="center" vertical="center"/>
    </xf>
    <xf numFmtId="44" fontId="20" fillId="0" borderId="71" xfId="0" applyNumberFormat="1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 wrapText="1"/>
    </xf>
    <xf numFmtId="0" fontId="20" fillId="0" borderId="71" xfId="0" applyFont="1" applyBorder="1" applyAlignment="1">
      <alignment vertical="center" wrapText="1"/>
    </xf>
    <xf numFmtId="170" fontId="21" fillId="0" borderId="84" xfId="0" applyNumberFormat="1" applyFont="1" applyBorder="1" applyAlignment="1">
      <alignment horizontal="center" vertical="center"/>
    </xf>
    <xf numFmtId="44" fontId="21" fillId="0" borderId="86" xfId="0" applyNumberFormat="1" applyFont="1" applyBorder="1" applyAlignment="1">
      <alignment horizontal="center" vertical="center"/>
    </xf>
    <xf numFmtId="0" fontId="21" fillId="12" borderId="68" xfId="0" applyFont="1" applyFill="1" applyBorder="1" applyAlignment="1">
      <alignment horizontal="center" vertical="center" wrapText="1"/>
    </xf>
    <xf numFmtId="170" fontId="10" fillId="12" borderId="77" xfId="0" applyNumberFormat="1" applyFont="1" applyFill="1" applyBorder="1" applyAlignment="1">
      <alignment horizontal="center" vertical="center"/>
    </xf>
    <xf numFmtId="0" fontId="13" fillId="12" borderId="77" xfId="0" applyFont="1" applyFill="1" applyBorder="1" applyAlignment="1">
      <alignment horizontal="center" vertical="center" wrapText="1"/>
    </xf>
    <xf numFmtId="0" fontId="4" fillId="0" borderId="73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20" fillId="0" borderId="79" xfId="0" applyFont="1" applyBorder="1" applyAlignment="1">
      <alignment vertical="center" wrapText="1"/>
    </xf>
    <xf numFmtId="44" fontId="7" fillId="13" borderId="11" xfId="8" applyNumberFormat="1" applyFont="1" applyFill="1" applyBorder="1" applyAlignment="1">
      <alignment horizontal="center" vertical="center" wrapText="1"/>
    </xf>
    <xf numFmtId="0" fontId="21" fillId="12" borderId="94" xfId="0" applyFont="1" applyFill="1" applyBorder="1" applyAlignment="1">
      <alignment horizontal="center" vertical="center" wrapText="1"/>
    </xf>
    <xf numFmtId="0" fontId="24" fillId="10" borderId="0" xfId="0" applyFont="1" applyFill="1" applyAlignment="1">
      <alignment vertical="center"/>
    </xf>
    <xf numFmtId="0" fontId="13" fillId="10" borderId="0" xfId="0" applyFont="1" applyFill="1"/>
    <xf numFmtId="0" fontId="13" fillId="0" borderId="0" xfId="0" applyFont="1" applyAlignment="1">
      <alignment vertical="center"/>
    </xf>
    <xf numFmtId="0" fontId="13" fillId="0" borderId="89" xfId="0" applyFont="1" applyBorder="1"/>
    <xf numFmtId="0" fontId="13" fillId="0" borderId="93" xfId="0" applyFont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20" fillId="0" borderId="96" xfId="0" applyFont="1" applyBorder="1" applyAlignment="1">
      <alignment horizontal="center" vertical="center"/>
    </xf>
    <xf numFmtId="0" fontId="20" fillId="0" borderId="97" xfId="0" applyFont="1" applyBorder="1" applyAlignment="1">
      <alignment vertical="center" wrapText="1"/>
    </xf>
    <xf numFmtId="0" fontId="20" fillId="0" borderId="97" xfId="0" applyFont="1" applyBorder="1" applyAlignment="1">
      <alignment horizontal="center" vertical="center"/>
    </xf>
    <xf numFmtId="2" fontId="20" fillId="0" borderId="97" xfId="0" applyNumberFormat="1" applyFont="1" applyBorder="1" applyAlignment="1">
      <alignment horizontal="center" vertical="center"/>
    </xf>
    <xf numFmtId="170" fontId="20" fillId="0" borderId="97" xfId="0" applyNumberFormat="1" applyFont="1" applyBorder="1" applyAlignment="1">
      <alignment horizontal="center" vertical="center"/>
    </xf>
    <xf numFmtId="10" fontId="20" fillId="0" borderId="97" xfId="0" applyNumberFormat="1" applyFont="1" applyBorder="1" applyAlignment="1">
      <alignment horizontal="center" vertical="center"/>
    </xf>
    <xf numFmtId="169" fontId="7" fillId="0" borderId="71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170" fontId="13" fillId="0" borderId="0" xfId="0" applyNumberFormat="1" applyFont="1" applyAlignment="1">
      <alignment horizontal="center"/>
    </xf>
    <xf numFmtId="170" fontId="13" fillId="0" borderId="0" xfId="0" applyNumberFormat="1" applyFont="1" applyAlignment="1">
      <alignment horizontal="center" vertical="center"/>
    </xf>
    <xf numFmtId="0" fontId="20" fillId="0" borderId="79" xfId="0" applyFont="1" applyBorder="1" applyAlignment="1">
      <alignment horizontal="center" vertical="center" wrapText="1"/>
    </xf>
    <xf numFmtId="0" fontId="20" fillId="0" borderId="9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0" fontId="20" fillId="0" borderId="80" xfId="1" applyNumberFormat="1" applyFont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10" fontId="22" fillId="0" borderId="0" xfId="0" applyNumberFormat="1" applyFont="1" applyAlignment="1">
      <alignment horizontal="center" vertical="center"/>
    </xf>
    <xf numFmtId="0" fontId="10" fillId="11" borderId="68" xfId="0" applyFont="1" applyFill="1" applyBorder="1" applyAlignment="1">
      <alignment horizontal="center" vertical="center" wrapText="1"/>
    </xf>
    <xf numFmtId="0" fontId="23" fillId="11" borderId="94" xfId="0" applyFont="1" applyFill="1" applyBorder="1" applyAlignment="1">
      <alignment horizontal="center" vertical="center" wrapText="1"/>
    </xf>
    <xf numFmtId="0" fontId="23" fillId="11" borderId="100" xfId="0" applyFont="1" applyFill="1" applyBorder="1" applyAlignment="1">
      <alignment horizontal="center" vertical="center" wrapText="1"/>
    </xf>
    <xf numFmtId="2" fontId="23" fillId="11" borderId="100" xfId="0" applyNumberFormat="1" applyFont="1" applyFill="1" applyBorder="1" applyAlignment="1">
      <alignment horizontal="center" vertical="center" wrapText="1"/>
    </xf>
    <xf numFmtId="170" fontId="23" fillId="11" borderId="100" xfId="0" applyNumberFormat="1" applyFont="1" applyFill="1" applyBorder="1" applyAlignment="1">
      <alignment horizontal="center" vertical="center" wrapText="1"/>
    </xf>
    <xf numFmtId="0" fontId="23" fillId="12" borderId="100" xfId="0" applyFont="1" applyFill="1" applyBorder="1" applyAlignment="1">
      <alignment horizontal="center" vertical="center" wrapText="1"/>
    </xf>
    <xf numFmtId="10" fontId="23" fillId="11" borderId="101" xfId="0" applyNumberFormat="1" applyFont="1" applyFill="1" applyBorder="1" applyAlignment="1">
      <alignment horizontal="center" vertical="center" wrapText="1"/>
    </xf>
    <xf numFmtId="0" fontId="0" fillId="12" borderId="77" xfId="0" applyFill="1" applyBorder="1" applyAlignment="1">
      <alignment horizontal="center" vertical="center"/>
    </xf>
    <xf numFmtId="10" fontId="21" fillId="0" borderId="88" xfId="0" applyNumberFormat="1" applyFont="1" applyBorder="1" applyAlignment="1">
      <alignment horizontal="center"/>
    </xf>
    <xf numFmtId="10" fontId="20" fillId="0" borderId="82" xfId="1" applyNumberFormat="1" applyFont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10" fontId="10" fillId="12" borderId="69" xfId="0" applyNumberFormat="1" applyFont="1" applyFill="1" applyBorder="1" applyAlignment="1">
      <alignment horizontal="center" vertical="center"/>
    </xf>
    <xf numFmtId="10" fontId="21" fillId="0" borderId="103" xfId="0" applyNumberFormat="1" applyFont="1" applyBorder="1" applyAlignment="1">
      <alignment horizontal="center"/>
    </xf>
    <xf numFmtId="10" fontId="20" fillId="0" borderId="104" xfId="1" applyNumberFormat="1" applyFont="1" applyBorder="1" applyAlignment="1">
      <alignment horizontal="center" vertical="center"/>
    </xf>
    <xf numFmtId="0" fontId="13" fillId="0" borderId="97" xfId="0" applyFont="1" applyBorder="1" applyAlignment="1">
      <alignment horizontal="center"/>
    </xf>
    <xf numFmtId="0" fontId="13" fillId="0" borderId="97" xfId="0" applyFont="1" applyBorder="1" applyAlignment="1">
      <alignment vertical="center"/>
    </xf>
    <xf numFmtId="0" fontId="0" fillId="0" borderId="97" xfId="0" applyBorder="1" applyAlignment="1">
      <alignment vertical="center"/>
    </xf>
    <xf numFmtId="10" fontId="21" fillId="0" borderId="103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right" vertical="center" wrapText="1"/>
    </xf>
    <xf numFmtId="0" fontId="19" fillId="0" borderId="32" xfId="0" applyFont="1" applyBorder="1" applyAlignment="1">
      <alignment horizontal="center" wrapText="1"/>
    </xf>
    <xf numFmtId="2" fontId="19" fillId="0" borderId="32" xfId="0" applyNumberFormat="1" applyFont="1" applyBorder="1" applyAlignment="1">
      <alignment horizontal="center" vertical="center" wrapText="1"/>
    </xf>
    <xf numFmtId="170" fontId="15" fillId="0" borderId="32" xfId="0" applyNumberFormat="1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10" fontId="21" fillId="0" borderId="32" xfId="0" applyNumberFormat="1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10" fontId="20" fillId="0" borderId="105" xfId="1" applyNumberFormat="1" applyFont="1" applyFill="1" applyBorder="1" applyAlignment="1">
      <alignment horizontal="center" vertical="center"/>
    </xf>
    <xf numFmtId="10" fontId="20" fillId="0" borderId="82" xfId="1" applyNumberFormat="1" applyFont="1" applyFill="1" applyBorder="1" applyAlignment="1">
      <alignment horizontal="center" vertical="center"/>
    </xf>
    <xf numFmtId="0" fontId="7" fillId="0" borderId="0" xfId="4"/>
    <xf numFmtId="0" fontId="7" fillId="12" borderId="31" xfId="4" applyFill="1" applyBorder="1"/>
    <xf numFmtId="0" fontId="4" fillId="14" borderId="50" xfId="4" applyFont="1" applyFill="1" applyBorder="1" applyAlignment="1" applyProtection="1">
      <alignment horizontal="center" vertical="center"/>
      <protection locked="0"/>
    </xf>
    <xf numFmtId="0" fontId="4" fillId="14" borderId="23" xfId="4" applyFont="1" applyFill="1" applyBorder="1" applyAlignment="1" applyProtection="1">
      <alignment vertical="center"/>
      <protection locked="0"/>
    </xf>
    <xf numFmtId="0" fontId="4" fillId="14" borderId="51" xfId="4" applyFont="1" applyFill="1" applyBorder="1" applyAlignment="1" applyProtection="1">
      <alignment vertical="center"/>
      <protection locked="0"/>
    </xf>
    <xf numFmtId="0" fontId="4" fillId="0" borderId="52" xfId="4" applyFont="1" applyBorder="1" applyAlignment="1" applyProtection="1">
      <alignment horizontal="center" vertical="center"/>
      <protection locked="0"/>
    </xf>
    <xf numFmtId="0" fontId="25" fillId="9" borderId="53" xfId="4" applyFont="1" applyFill="1" applyBorder="1" applyAlignment="1" applyProtection="1">
      <alignment vertical="center"/>
      <protection locked="0"/>
    </xf>
    <xf numFmtId="10" fontId="25" fillId="9" borderId="54" xfId="5" applyNumberFormat="1" applyFont="1" applyFill="1" applyBorder="1" applyAlignment="1" applyProtection="1">
      <alignment vertical="center"/>
      <protection locked="0"/>
    </xf>
    <xf numFmtId="0" fontId="4" fillId="0" borderId="55" xfId="4" applyFont="1" applyBorder="1" applyAlignment="1" applyProtection="1">
      <alignment horizontal="center" vertical="center"/>
      <protection locked="0"/>
    </xf>
    <xf numFmtId="0" fontId="25" fillId="9" borderId="56" xfId="4" applyFont="1" applyFill="1" applyBorder="1" applyAlignment="1" applyProtection="1">
      <alignment vertical="center"/>
      <protection locked="0"/>
    </xf>
    <xf numFmtId="10" fontId="25" fillId="9" borderId="57" xfId="5" applyNumberFormat="1" applyFont="1" applyFill="1" applyBorder="1" applyAlignment="1" applyProtection="1">
      <alignment vertical="center"/>
      <protection locked="0"/>
    </xf>
    <xf numFmtId="0" fontId="4" fillId="0" borderId="58" xfId="4" applyFont="1" applyBorder="1" applyAlignment="1" applyProtection="1">
      <alignment horizontal="center" vertical="center"/>
      <protection locked="0"/>
    </xf>
    <xf numFmtId="0" fontId="25" fillId="9" borderId="59" xfId="4" applyFont="1" applyFill="1" applyBorder="1" applyAlignment="1" applyProtection="1">
      <alignment vertical="center"/>
      <protection locked="0"/>
    </xf>
    <xf numFmtId="10" fontId="25" fillId="9" borderId="60" xfId="5" applyNumberFormat="1" applyFont="1" applyFill="1" applyBorder="1" applyAlignment="1" applyProtection="1">
      <alignment vertical="center"/>
      <protection locked="0"/>
    </xf>
    <xf numFmtId="0" fontId="4" fillId="14" borderId="61" xfId="4" applyFont="1" applyFill="1" applyBorder="1" applyAlignment="1" applyProtection="1">
      <alignment horizontal="center" vertical="center"/>
      <protection locked="0"/>
    </xf>
    <xf numFmtId="0" fontId="4" fillId="14" borderId="62" xfId="4" applyFont="1" applyFill="1" applyBorder="1" applyAlignment="1" applyProtection="1">
      <alignment horizontal="right" vertical="center"/>
      <protection locked="0"/>
    </xf>
    <xf numFmtId="10" fontId="4" fillId="13" borderId="20" xfId="5" applyNumberFormat="1" applyFont="1" applyFill="1" applyBorder="1" applyAlignment="1">
      <alignment horizontal="right" vertical="center"/>
    </xf>
    <xf numFmtId="0" fontId="4" fillId="0" borderId="30" xfId="4" applyFont="1" applyBorder="1" applyAlignment="1" applyProtection="1">
      <alignment horizontal="center" vertical="center"/>
      <protection locked="0"/>
    </xf>
    <xf numFmtId="0" fontId="25" fillId="0" borderId="0" xfId="4" applyFont="1" applyAlignment="1" applyProtection="1">
      <alignment vertical="center"/>
      <protection locked="0"/>
    </xf>
    <xf numFmtId="0" fontId="25" fillId="0" borderId="34" xfId="4" applyFont="1" applyBorder="1" applyAlignment="1" applyProtection="1">
      <alignment vertical="center"/>
      <protection locked="0"/>
    </xf>
    <xf numFmtId="0" fontId="4" fillId="15" borderId="63" xfId="4" applyFont="1" applyFill="1" applyBorder="1" applyAlignment="1" applyProtection="1">
      <alignment horizontal="center" vertical="center"/>
      <protection locked="0"/>
    </xf>
    <xf numFmtId="0" fontId="4" fillId="15" borderId="64" xfId="4" applyFont="1" applyFill="1" applyBorder="1" applyAlignment="1" applyProtection="1">
      <alignment vertical="center"/>
      <protection locked="0"/>
    </xf>
    <xf numFmtId="0" fontId="4" fillId="15" borderId="65" xfId="4" applyFont="1" applyFill="1" applyBorder="1" applyAlignment="1" applyProtection="1">
      <alignment vertical="center"/>
      <protection locked="0"/>
    </xf>
    <xf numFmtId="0" fontId="4" fillId="9" borderId="66" xfId="4" applyFont="1" applyFill="1" applyBorder="1" applyAlignment="1" applyProtection="1">
      <alignment horizontal="center" vertical="center"/>
      <protection locked="0"/>
    </xf>
    <xf numFmtId="0" fontId="25" fillId="9" borderId="28" xfId="4" applyFont="1" applyFill="1" applyBorder="1" applyAlignment="1" applyProtection="1">
      <alignment vertical="center"/>
      <protection locked="0"/>
    </xf>
    <xf numFmtId="10" fontId="25" fillId="9" borderId="67" xfId="5" applyNumberFormat="1" applyFont="1" applyFill="1" applyBorder="1" applyAlignment="1" applyProtection="1">
      <alignment vertical="center"/>
      <protection locked="0"/>
    </xf>
    <xf numFmtId="0" fontId="4" fillId="13" borderId="61" xfId="4" applyFont="1" applyFill="1" applyBorder="1" applyAlignment="1" applyProtection="1">
      <alignment horizontal="center" vertical="center"/>
      <protection locked="0"/>
    </xf>
    <xf numFmtId="0" fontId="4" fillId="13" borderId="62" xfId="4" applyFont="1" applyFill="1" applyBorder="1" applyAlignment="1" applyProtection="1">
      <alignment horizontal="right" vertical="center"/>
      <protection locked="0"/>
    </xf>
    <xf numFmtId="0" fontId="4" fillId="9" borderId="52" xfId="4" applyFont="1" applyFill="1" applyBorder="1" applyAlignment="1" applyProtection="1">
      <alignment horizontal="center" vertical="center"/>
      <protection locked="0"/>
    </xf>
    <xf numFmtId="10" fontId="25" fillId="9" borderId="54" xfId="5" applyNumberFormat="1" applyFont="1" applyFill="1" applyBorder="1" applyAlignment="1">
      <alignment vertical="center"/>
    </xf>
    <xf numFmtId="0" fontId="4" fillId="9" borderId="55" xfId="4" applyFont="1" applyFill="1" applyBorder="1" applyAlignment="1" applyProtection="1">
      <alignment horizontal="center" vertical="center"/>
      <protection locked="0"/>
    </xf>
    <xf numFmtId="10" fontId="25" fillId="9" borderId="57" xfId="5" applyNumberFormat="1" applyFont="1" applyFill="1" applyBorder="1" applyAlignment="1">
      <alignment vertical="center"/>
    </xf>
    <xf numFmtId="0" fontId="25" fillId="9" borderId="56" xfId="4" applyFont="1" applyFill="1" applyBorder="1" applyAlignment="1" applyProtection="1">
      <alignment vertical="center" wrapText="1"/>
      <protection locked="0"/>
    </xf>
    <xf numFmtId="0" fontId="4" fillId="9" borderId="58" xfId="4" applyFont="1" applyFill="1" applyBorder="1" applyAlignment="1" applyProtection="1">
      <alignment horizontal="center" vertical="center"/>
      <protection locked="0"/>
    </xf>
    <xf numFmtId="0" fontId="25" fillId="9" borderId="59" xfId="4" applyFont="1" applyFill="1" applyBorder="1" applyAlignment="1" applyProtection="1">
      <alignment vertical="center" wrapText="1"/>
      <protection locked="0"/>
    </xf>
    <xf numFmtId="10" fontId="25" fillId="9" borderId="60" xfId="5" applyNumberFormat="1" applyFont="1" applyFill="1" applyBorder="1" applyAlignment="1">
      <alignment vertical="center"/>
    </xf>
    <xf numFmtId="0" fontId="4" fillId="13" borderId="61" xfId="4" applyFont="1" applyFill="1" applyBorder="1" applyAlignment="1" applyProtection="1">
      <alignment vertical="center"/>
      <protection locked="0"/>
    </xf>
    <xf numFmtId="0" fontId="4" fillId="0" borderId="30" xfId="4" applyFont="1" applyBorder="1" applyAlignment="1" applyProtection="1">
      <alignment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10" fontId="4" fillId="0" borderId="34" xfId="5" applyNumberFormat="1" applyFont="1" applyBorder="1" applyAlignment="1">
      <alignment horizontal="right" vertical="center"/>
    </xf>
    <xf numFmtId="0" fontId="4" fillId="0" borderId="66" xfId="4" applyFont="1" applyBorder="1" applyAlignment="1" applyProtection="1">
      <alignment horizontal="center" vertical="center"/>
      <protection locked="0"/>
    </xf>
    <xf numFmtId="0" fontId="25" fillId="0" borderId="28" xfId="4" applyFont="1" applyBorder="1" applyAlignment="1" applyProtection="1">
      <alignment vertical="center"/>
      <protection locked="0"/>
    </xf>
    <xf numFmtId="10" fontId="25" fillId="0" borderId="67" xfId="5" applyNumberFormat="1" applyFont="1" applyBorder="1" applyAlignment="1" applyProtection="1">
      <alignment vertical="center"/>
      <protection locked="0"/>
    </xf>
    <xf numFmtId="10" fontId="4" fillId="13" borderId="20" xfId="5" applyNumberFormat="1" applyFont="1" applyFill="1" applyBorder="1" applyAlignment="1">
      <alignment vertical="center"/>
    </xf>
    <xf numFmtId="10" fontId="4" fillId="13" borderId="69" xfId="4" applyNumberFormat="1" applyFont="1" applyFill="1" applyBorder="1"/>
    <xf numFmtId="0" fontId="11" fillId="0" borderId="0" xfId="6" applyFont="1" applyAlignment="1">
      <alignment vertical="center"/>
    </xf>
    <xf numFmtId="0" fontId="20" fillId="0" borderId="71" xfId="0" applyFont="1" applyBorder="1" applyAlignment="1">
      <alignment wrapText="1"/>
    </xf>
    <xf numFmtId="0" fontId="7" fillId="0" borderId="65" xfId="3" applyBorder="1" applyAlignment="1">
      <alignment horizontal="center" vertical="center"/>
    </xf>
    <xf numFmtId="0" fontId="7" fillId="0" borderId="17" xfId="3" applyBorder="1" applyAlignment="1">
      <alignment horizontal="center" vertical="center"/>
    </xf>
    <xf numFmtId="171" fontId="7" fillId="12" borderId="17" xfId="3" applyNumberFormat="1" applyFill="1" applyBorder="1" applyAlignment="1">
      <alignment horizontal="center" vertical="center"/>
    </xf>
    <xf numFmtId="170" fontId="7" fillId="12" borderId="62" xfId="3" applyNumberFormat="1" applyFill="1" applyBorder="1" applyAlignment="1">
      <alignment vertical="center"/>
    </xf>
    <xf numFmtId="171" fontId="7" fillId="12" borderId="20" xfId="3" applyNumberFormat="1" applyFill="1" applyBorder="1" applyAlignment="1">
      <alignment vertical="center"/>
    </xf>
    <xf numFmtId="44" fontId="7" fillId="13" borderId="8" xfId="8" applyNumberFormat="1" applyFont="1" applyFill="1" applyBorder="1" applyAlignment="1">
      <alignment vertical="center"/>
    </xf>
    <xf numFmtId="0" fontId="13" fillId="0" borderId="8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93" xfId="0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1" fillId="0" borderId="83" xfId="0" applyFont="1" applyBorder="1" applyAlignment="1">
      <alignment horizontal="right" vertical="center"/>
    </xf>
    <xf numFmtId="0" fontId="21" fillId="0" borderId="84" xfId="0" applyFont="1" applyBorder="1" applyAlignment="1">
      <alignment horizontal="right" vertical="center"/>
    </xf>
    <xf numFmtId="170" fontId="21" fillId="0" borderId="87" xfId="0" applyNumberFormat="1" applyFont="1" applyBorder="1" applyAlignment="1">
      <alignment horizontal="center" vertical="center"/>
    </xf>
    <xf numFmtId="170" fontId="21" fillId="0" borderId="102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0" fillId="12" borderId="68" xfId="0" applyFont="1" applyFill="1" applyBorder="1" applyAlignment="1">
      <alignment horizontal="right" vertical="center"/>
    </xf>
    <xf numFmtId="0" fontId="10" fillId="12" borderId="77" xfId="0" applyFont="1" applyFill="1" applyBorder="1" applyAlignment="1">
      <alignment horizontal="right" vertical="center"/>
    </xf>
    <xf numFmtId="0" fontId="0" fillId="0" borderId="68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3" fillId="0" borderId="98" xfId="0" applyFont="1" applyBorder="1" applyAlignment="1">
      <alignment horizontal="center"/>
    </xf>
    <xf numFmtId="0" fontId="13" fillId="0" borderId="97" xfId="0" applyFont="1" applyBorder="1" applyAlignment="1">
      <alignment horizontal="center"/>
    </xf>
    <xf numFmtId="10" fontId="21" fillId="0" borderId="32" xfId="0" applyNumberFormat="1" applyFont="1" applyBorder="1" applyAlignment="1">
      <alignment horizontal="center" vertical="center" wrapText="1"/>
    </xf>
    <xf numFmtId="10" fontId="21" fillId="0" borderId="99" xfId="0" applyNumberFormat="1" applyFont="1" applyBorder="1" applyAlignment="1">
      <alignment horizontal="center" vertical="center" wrapText="1"/>
    </xf>
    <xf numFmtId="44" fontId="21" fillId="0" borderId="87" xfId="0" applyNumberFormat="1" applyFont="1" applyBorder="1" applyAlignment="1">
      <alignment horizontal="center" vertical="center"/>
    </xf>
    <xf numFmtId="44" fontId="21" fillId="0" borderId="102" xfId="0" applyNumberFormat="1" applyFont="1" applyBorder="1" applyAlignment="1">
      <alignment horizontal="center" vertical="center"/>
    </xf>
    <xf numFmtId="0" fontId="21" fillId="11" borderId="77" xfId="0" applyFont="1" applyFill="1" applyBorder="1" applyAlignment="1">
      <alignment horizontal="center" vertical="center" wrapText="1"/>
    </xf>
    <xf numFmtId="0" fontId="21" fillId="11" borderId="69" xfId="0" applyFont="1" applyFill="1" applyBorder="1" applyAlignment="1">
      <alignment horizontal="center" vertical="center" wrapText="1"/>
    </xf>
    <xf numFmtId="0" fontId="21" fillId="0" borderId="85" xfId="0" applyFont="1" applyBorder="1" applyAlignment="1">
      <alignment horizontal="right" vertical="center"/>
    </xf>
    <xf numFmtId="0" fontId="21" fillId="0" borderId="86" xfId="0" applyFont="1" applyBorder="1" applyAlignment="1">
      <alignment horizontal="right" vertical="center"/>
    </xf>
    <xf numFmtId="0" fontId="21" fillId="12" borderId="95" xfId="0" applyFont="1" applyFill="1" applyBorder="1" applyAlignment="1">
      <alignment horizontal="center" vertical="center" wrapText="1"/>
    </xf>
    <xf numFmtId="0" fontId="21" fillId="12" borderId="77" xfId="0" applyFont="1" applyFill="1" applyBorder="1" applyAlignment="1">
      <alignment horizontal="center" vertical="center" wrapText="1"/>
    </xf>
    <xf numFmtId="0" fontId="21" fillId="12" borderId="69" xfId="0" applyFont="1" applyFill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/>
    </xf>
    <xf numFmtId="0" fontId="24" fillId="10" borderId="91" xfId="0" applyFont="1" applyFill="1" applyBorder="1" applyAlignment="1">
      <alignment horizontal="center" vertical="center"/>
    </xf>
    <xf numFmtId="0" fontId="24" fillId="10" borderId="4" xfId="0" applyFont="1" applyFill="1" applyBorder="1" applyAlignment="1">
      <alignment horizontal="center" vertical="center"/>
    </xf>
    <xf numFmtId="0" fontId="24" fillId="10" borderId="92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4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7" fillId="0" borderId="75" xfId="3" applyBorder="1" applyAlignment="1">
      <alignment horizontal="center" vertical="center"/>
    </xf>
    <xf numFmtId="0" fontId="7" fillId="0" borderId="50" xfId="3" applyBorder="1" applyAlignment="1">
      <alignment horizontal="center" vertical="center"/>
    </xf>
    <xf numFmtId="0" fontId="7" fillId="0" borderId="12" xfId="3" applyBorder="1" applyAlignment="1">
      <alignment horizontal="center" vertical="center" wrapText="1"/>
    </xf>
    <xf numFmtId="0" fontId="7" fillId="0" borderId="14" xfId="3" applyBorder="1" applyAlignment="1">
      <alignment horizontal="center" vertical="center" wrapText="1"/>
    </xf>
    <xf numFmtId="0" fontId="7" fillId="0" borderId="21" xfId="3" applyBorder="1" applyAlignment="1">
      <alignment horizontal="center" vertical="center" wrapText="1"/>
    </xf>
    <xf numFmtId="0" fontId="7" fillId="0" borderId="22" xfId="3" applyBorder="1" applyAlignment="1">
      <alignment horizontal="center" vertical="center" wrapText="1"/>
    </xf>
    <xf numFmtId="0" fontId="4" fillId="0" borderId="72" xfId="3" applyFont="1" applyBorder="1" applyAlignment="1">
      <alignment horizontal="center" vertical="center"/>
    </xf>
    <xf numFmtId="0" fontId="4" fillId="0" borderId="73" xfId="3" applyFont="1" applyBorder="1" applyAlignment="1">
      <alignment horizontal="center" vertical="center"/>
    </xf>
    <xf numFmtId="0" fontId="4" fillId="0" borderId="70" xfId="3" applyFont="1" applyBorder="1" applyAlignment="1">
      <alignment horizontal="center" vertical="center"/>
    </xf>
    <xf numFmtId="0" fontId="15" fillId="0" borderId="9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0" fontId="15" fillId="0" borderId="30" xfId="3" applyFont="1" applyBorder="1" applyAlignment="1">
      <alignment horizontal="center"/>
    </xf>
    <xf numFmtId="0" fontId="15" fillId="0" borderId="0" xfId="3" applyFont="1" applyAlignment="1">
      <alignment horizontal="center"/>
    </xf>
    <xf numFmtId="0" fontId="15" fillId="0" borderId="35" xfId="3" applyFont="1" applyBorder="1" applyAlignment="1">
      <alignment horizontal="center"/>
    </xf>
    <xf numFmtId="0" fontId="15" fillId="0" borderId="7" xfId="3" applyFont="1" applyBorder="1" applyAlignment="1">
      <alignment horizontal="center"/>
    </xf>
    <xf numFmtId="0" fontId="15" fillId="0" borderId="16" xfId="3" applyFont="1" applyBorder="1" applyAlignment="1">
      <alignment horizontal="center"/>
    </xf>
    <xf numFmtId="0" fontId="15" fillId="0" borderId="10" xfId="3" applyFont="1" applyBorder="1" applyAlignment="1">
      <alignment horizontal="center"/>
    </xf>
    <xf numFmtId="0" fontId="15" fillId="0" borderId="90" xfId="3" applyFont="1" applyBorder="1" applyAlignment="1">
      <alignment horizontal="center"/>
    </xf>
    <xf numFmtId="0" fontId="15" fillId="12" borderId="9" xfId="3" applyFont="1" applyFill="1" applyBorder="1" applyAlignment="1">
      <alignment horizontal="center" vertical="center" wrapText="1"/>
    </xf>
    <xf numFmtId="0" fontId="15" fillId="12" borderId="11" xfId="3" applyFont="1" applyFill="1" applyBorder="1" applyAlignment="1">
      <alignment horizontal="center" vertical="center" wrapText="1"/>
    </xf>
    <xf numFmtId="0" fontId="15" fillId="12" borderId="16" xfId="3" applyFont="1" applyFill="1" applyBorder="1" applyAlignment="1">
      <alignment horizontal="center" vertical="center" wrapText="1"/>
    </xf>
    <xf numFmtId="0" fontId="15" fillId="12" borderId="10" xfId="3" applyFont="1" applyFill="1" applyBorder="1" applyAlignment="1">
      <alignment horizontal="center" vertical="center" wrapText="1"/>
    </xf>
    <xf numFmtId="0" fontId="15" fillId="12" borderId="18" xfId="3" applyFont="1" applyFill="1" applyBorder="1" applyAlignment="1">
      <alignment horizontal="center" vertical="center" wrapText="1"/>
    </xf>
    <xf numFmtId="0" fontId="15" fillId="12" borderId="19" xfId="3" applyFont="1" applyFill="1" applyBorder="1" applyAlignment="1">
      <alignment horizontal="center" vertical="center" wrapText="1"/>
    </xf>
    <xf numFmtId="0" fontId="15" fillId="12" borderId="76" xfId="3" applyFont="1" applyFill="1" applyBorder="1" applyAlignment="1">
      <alignment horizontal="center" vertical="center" wrapText="1"/>
    </xf>
    <xf numFmtId="0" fontId="7" fillId="0" borderId="10" xfId="3" applyBorder="1" applyAlignment="1">
      <alignment horizontal="center" vertical="center" wrapText="1"/>
    </xf>
    <xf numFmtId="0" fontId="4" fillId="12" borderId="32" xfId="4" applyFont="1" applyFill="1" applyBorder="1" applyAlignment="1">
      <alignment horizontal="center"/>
    </xf>
    <xf numFmtId="0" fontId="4" fillId="12" borderId="33" xfId="4" applyFont="1" applyFill="1" applyBorder="1" applyAlignment="1">
      <alignment horizontal="center"/>
    </xf>
    <xf numFmtId="0" fontId="9" fillId="0" borderId="30" xfId="6" applyFont="1" applyBorder="1" applyAlignment="1">
      <alignment horizontal="center" vertical="center"/>
    </xf>
    <xf numFmtId="0" fontId="9" fillId="0" borderId="0" xfId="6" applyFont="1" applyAlignment="1">
      <alignment horizontal="center" vertical="center"/>
    </xf>
    <xf numFmtId="0" fontId="9" fillId="0" borderId="34" xfId="6" applyFont="1" applyBorder="1" applyAlignment="1">
      <alignment horizontal="center" vertical="center"/>
    </xf>
    <xf numFmtId="0" fontId="11" fillId="0" borderId="24" xfId="6" applyFont="1" applyBorder="1" applyAlignment="1">
      <alignment horizontal="center" vertical="center"/>
    </xf>
    <xf numFmtId="0" fontId="11" fillId="0" borderId="25" xfId="6" applyFont="1" applyBorder="1" applyAlignment="1">
      <alignment horizontal="center" vertical="center"/>
    </xf>
    <xf numFmtId="0" fontId="11" fillId="0" borderId="26" xfId="6" applyFont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4" fillId="12" borderId="30" xfId="4" applyFont="1" applyFill="1" applyBorder="1" applyAlignment="1" applyProtection="1">
      <alignment horizontal="center" vertical="center" wrapText="1"/>
      <protection locked="0"/>
    </xf>
    <xf numFmtId="0" fontId="4" fillId="12" borderId="0" xfId="4" applyFont="1" applyFill="1" applyAlignment="1" applyProtection="1">
      <alignment horizontal="center" vertical="center" wrapText="1"/>
      <protection locked="0"/>
    </xf>
    <xf numFmtId="0" fontId="4" fillId="12" borderId="34" xfId="4" applyFont="1" applyFill="1" applyBorder="1" applyAlignment="1" applyProtection="1">
      <alignment horizontal="center" vertical="center" wrapText="1"/>
      <protection locked="0"/>
    </xf>
    <xf numFmtId="0" fontId="4" fillId="12" borderId="35" xfId="4" applyFont="1" applyFill="1" applyBorder="1" applyAlignment="1" applyProtection="1">
      <alignment horizontal="center" vertical="center" wrapText="1"/>
      <protection locked="0"/>
    </xf>
    <xf numFmtId="0" fontId="4" fillId="12" borderId="7" xfId="4" applyFont="1" applyFill="1" applyBorder="1" applyAlignment="1" applyProtection="1">
      <alignment horizontal="center" vertical="center" wrapText="1"/>
      <protection locked="0"/>
    </xf>
    <xf numFmtId="0" fontId="4" fillId="12" borderId="27" xfId="4" applyFont="1" applyFill="1" applyBorder="1" applyAlignment="1" applyProtection="1">
      <alignment horizontal="center" vertical="center" wrapText="1"/>
      <protection locked="0"/>
    </xf>
    <xf numFmtId="0" fontId="4" fillId="13" borderId="50" xfId="4" applyFont="1" applyFill="1" applyBorder="1" applyAlignment="1" applyProtection="1">
      <alignment horizontal="center" vertical="center"/>
      <protection locked="0"/>
    </xf>
    <xf numFmtId="0" fontId="4" fillId="13" borderId="23" xfId="4" applyFont="1" applyFill="1" applyBorder="1" applyAlignment="1" applyProtection="1">
      <alignment horizontal="center" vertical="center"/>
      <protection locked="0"/>
    </xf>
    <xf numFmtId="0" fontId="4" fillId="13" borderId="51" xfId="4" applyFont="1" applyFill="1" applyBorder="1" applyAlignment="1" applyProtection="1">
      <alignment horizontal="center" vertical="center"/>
      <protection locked="0"/>
    </xf>
    <xf numFmtId="0" fontId="4" fillId="13" borderId="68" xfId="4" applyFont="1" applyFill="1" applyBorder="1" applyAlignment="1" applyProtection="1">
      <alignment horizontal="right" vertical="center"/>
      <protection locked="0"/>
    </xf>
    <xf numFmtId="0" fontId="7" fillId="0" borderId="30" xfId="4" applyBorder="1" applyAlignment="1" applyProtection="1">
      <alignment horizontal="center"/>
      <protection locked="0"/>
    </xf>
    <xf numFmtId="0" fontId="7" fillId="0" borderId="0" xfId="4" applyAlignment="1" applyProtection="1">
      <alignment horizontal="center"/>
      <protection locked="0"/>
    </xf>
    <xf numFmtId="0" fontId="7" fillId="0" borderId="34" xfId="4" applyBorder="1" applyAlignment="1" applyProtection="1">
      <alignment horizontal="center"/>
      <protection locked="0"/>
    </xf>
    <xf numFmtId="0" fontId="4" fillId="0" borderId="30" xfId="4" applyFont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34" xfId="4" applyFont="1" applyBorder="1" applyAlignment="1" applyProtection="1">
      <alignment horizontal="center" vertical="center"/>
      <protection locked="0"/>
    </xf>
    <xf numFmtId="0" fontId="11" fillId="0" borderId="30" xfId="6" applyFont="1" applyBorder="1" applyAlignment="1">
      <alignment horizontal="center" vertical="center"/>
    </xf>
    <xf numFmtId="0" fontId="11" fillId="0" borderId="34" xfId="6" applyFont="1" applyBorder="1" applyAlignment="1">
      <alignment horizontal="center" vertical="center"/>
    </xf>
    <xf numFmtId="0" fontId="4" fillId="0" borderId="31" xfId="4" applyFont="1" applyBorder="1" applyAlignment="1" applyProtection="1">
      <alignment horizontal="center" vertical="center"/>
      <protection locked="0"/>
    </xf>
    <xf numFmtId="0" fontId="4" fillId="0" borderId="32" xfId="4" applyFont="1" applyBorder="1" applyAlignment="1" applyProtection="1">
      <alignment horizontal="center" vertical="center"/>
      <protection locked="0"/>
    </xf>
    <xf numFmtId="0" fontId="4" fillId="0" borderId="33" xfId="4" applyFont="1" applyBorder="1" applyAlignment="1" applyProtection="1">
      <alignment horizontal="center" vertical="center"/>
      <protection locked="0"/>
    </xf>
    <xf numFmtId="10" fontId="6" fillId="7" borderId="23" xfId="2" applyNumberFormat="1" applyFont="1" applyFill="1" applyBorder="1" applyAlignment="1" applyProtection="1">
      <alignment horizontal="center" vertical="center" wrapText="1" shrinkToFit="1"/>
      <protection hidden="1"/>
    </xf>
    <xf numFmtId="10" fontId="6" fillId="7" borderId="8" xfId="2" applyNumberFormat="1" applyFont="1" applyFill="1" applyBorder="1" applyAlignment="1" applyProtection="1">
      <alignment horizontal="center" vertical="center" wrapText="1" shrinkToFit="1"/>
      <protection hidden="1"/>
    </xf>
    <xf numFmtId="10" fontId="6" fillId="3" borderId="23" xfId="2" applyNumberFormat="1" applyFont="1" applyFill="1" applyBorder="1" applyAlignment="1" applyProtection="1">
      <alignment horizontal="center" vertical="center" wrapText="1" shrinkToFit="1"/>
      <protection hidden="1"/>
    </xf>
    <xf numFmtId="10" fontId="6" fillId="3" borderId="8" xfId="2" applyNumberFormat="1" applyFont="1" applyFill="1" applyBorder="1" applyAlignment="1" applyProtection="1">
      <alignment horizontal="center" vertical="center" wrapText="1" shrinkToFi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4" fillId="0" borderId="4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 applyProtection="1">
      <alignment horizontal="left" vertical="center" wrapText="1"/>
      <protection hidden="1"/>
    </xf>
    <xf numFmtId="0" fontId="5" fillId="2" borderId="5" xfId="0" applyFont="1" applyFill="1" applyBorder="1" applyAlignment="1" applyProtection="1">
      <alignment horizontal="left" vertical="center" wrapText="1"/>
      <protection hidden="1"/>
    </xf>
    <xf numFmtId="0" fontId="4" fillId="2" borderId="6" xfId="0" applyFont="1" applyFill="1" applyBorder="1" applyAlignment="1" applyProtection="1">
      <alignment horizontal="left" vertical="center" wrapText="1"/>
      <protection hidden="1"/>
    </xf>
    <xf numFmtId="0" fontId="4" fillId="2" borderId="24" xfId="0" applyFont="1" applyFill="1" applyBorder="1" applyAlignment="1" applyProtection="1">
      <alignment horizontal="left" vertical="center" wrapText="1"/>
      <protection hidden="1"/>
    </xf>
    <xf numFmtId="0" fontId="4" fillId="2" borderId="25" xfId="0" applyFont="1" applyFill="1" applyBorder="1" applyAlignment="1" applyProtection="1">
      <alignment horizontal="left" vertical="center" wrapText="1"/>
      <protection hidden="1"/>
    </xf>
    <xf numFmtId="49" fontId="8" fillId="4" borderId="16" xfId="0" applyNumberFormat="1" applyFont="1" applyFill="1" applyBorder="1" applyAlignment="1" applyProtection="1">
      <alignment horizontal="left" vertical="center" wrapText="1" shrinkToFit="1"/>
      <protection hidden="1"/>
    </xf>
    <xf numFmtId="49" fontId="8" fillId="4" borderId="10" xfId="0" applyNumberFormat="1" applyFont="1" applyFill="1" applyBorder="1" applyAlignment="1" applyProtection="1">
      <alignment horizontal="left" vertical="center" wrapText="1" shrinkToFit="1"/>
      <protection hidden="1"/>
    </xf>
    <xf numFmtId="49" fontId="8" fillId="4" borderId="18" xfId="0" applyNumberFormat="1" applyFont="1" applyFill="1" applyBorder="1" applyAlignment="1" applyProtection="1">
      <alignment horizontal="left" vertical="center" wrapText="1" shrinkToFit="1"/>
      <protection hidden="1"/>
    </xf>
    <xf numFmtId="49" fontId="8" fillId="4" borderId="19" xfId="0" applyNumberFormat="1" applyFont="1" applyFill="1" applyBorder="1" applyAlignment="1" applyProtection="1">
      <alignment horizontal="left" vertical="center" wrapText="1" shrinkToFit="1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49" fontId="9" fillId="2" borderId="36" xfId="0" applyNumberFormat="1" applyFont="1" applyFill="1" applyBorder="1" applyAlignment="1" applyProtection="1">
      <alignment horizontal="left" vertical="center" wrapText="1" shrinkToFit="1"/>
      <protection hidden="1"/>
    </xf>
    <xf numFmtId="49" fontId="8" fillId="2" borderId="36" xfId="0" applyNumberFormat="1" applyFont="1" applyFill="1" applyBorder="1" applyAlignment="1" applyProtection="1">
      <alignment horizontal="left" vertical="center" wrapText="1" shrinkToFit="1"/>
      <protection hidden="1"/>
    </xf>
    <xf numFmtId="0" fontId="6" fillId="2" borderId="36" xfId="0" applyFont="1" applyFill="1" applyBorder="1" applyAlignment="1" applyProtection="1">
      <alignment horizontal="center" vertical="center"/>
      <protection hidden="1"/>
    </xf>
    <xf numFmtId="0" fontId="7" fillId="2" borderId="36" xfId="0" applyFont="1" applyFill="1" applyBorder="1" applyAlignment="1" applyProtection="1">
      <alignment horizontal="center" vertical="center"/>
      <protection hidden="1"/>
    </xf>
    <xf numFmtId="0" fontId="0" fillId="2" borderId="36" xfId="0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49" fontId="8" fillId="4" borderId="35" xfId="0" applyNumberFormat="1" applyFont="1" applyFill="1" applyBorder="1" applyAlignment="1" applyProtection="1">
      <alignment horizontal="center" vertical="center" wrapText="1" shrinkToFit="1"/>
      <protection hidden="1"/>
    </xf>
    <xf numFmtId="49" fontId="8" fillId="4" borderId="7" xfId="0" applyNumberFormat="1" applyFont="1" applyFill="1" applyBorder="1" applyAlignment="1" applyProtection="1">
      <alignment horizontal="center" vertical="center" wrapText="1" shrinkToFit="1"/>
      <protection hidden="1"/>
    </xf>
    <xf numFmtId="49" fontId="8" fillId="4" borderId="27" xfId="0" applyNumberFormat="1" applyFont="1" applyFill="1" applyBorder="1" applyAlignment="1" applyProtection="1">
      <alignment horizontal="center" vertical="center" wrapText="1" shrinkToFit="1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49" fontId="8" fillId="4" borderId="11" xfId="0" applyNumberFormat="1" applyFont="1" applyFill="1" applyBorder="1" applyAlignment="1" applyProtection="1">
      <alignment horizontal="left" vertical="center" wrapText="1" shrinkToFit="1"/>
      <protection hidden="1"/>
    </xf>
    <xf numFmtId="49" fontId="9" fillId="2" borderId="0" xfId="0" applyNumberFormat="1" applyFont="1" applyFill="1" applyAlignment="1" applyProtection="1">
      <alignment horizontal="left" vertical="center" wrapText="1" shrinkToFit="1"/>
      <protection hidden="1"/>
    </xf>
    <xf numFmtId="10" fontId="6" fillId="4" borderId="12" xfId="1" applyNumberFormat="1" applyFont="1" applyFill="1" applyBorder="1" applyAlignment="1" applyProtection="1">
      <alignment horizontal="center" vertical="center" wrapText="1" shrinkToFit="1"/>
      <protection hidden="1"/>
    </xf>
    <xf numFmtId="10" fontId="6" fillId="4" borderId="13" xfId="1" applyNumberFormat="1" applyFont="1" applyFill="1" applyBorder="1" applyAlignment="1" applyProtection="1">
      <alignment horizontal="center" vertical="center" wrapText="1" shrinkToFit="1"/>
      <protection hidden="1"/>
    </xf>
    <xf numFmtId="10" fontId="6" fillId="4" borderId="14" xfId="1" applyNumberFormat="1" applyFont="1" applyFill="1" applyBorder="1" applyAlignment="1" applyProtection="1">
      <alignment horizontal="center" vertical="center" wrapText="1" shrinkToFit="1"/>
      <protection hidden="1"/>
    </xf>
    <xf numFmtId="10" fontId="6" fillId="4" borderId="21" xfId="1" applyNumberFormat="1" applyFont="1" applyFill="1" applyBorder="1" applyAlignment="1" applyProtection="1">
      <alignment horizontal="center" vertical="center" wrapText="1" shrinkToFit="1"/>
      <protection hidden="1"/>
    </xf>
    <xf numFmtId="10" fontId="6" fillId="4" borderId="7" xfId="1" applyNumberFormat="1" applyFont="1" applyFill="1" applyBorder="1" applyAlignment="1" applyProtection="1">
      <alignment horizontal="center" vertical="center" wrapText="1" shrinkToFit="1"/>
      <protection hidden="1"/>
    </xf>
    <xf numFmtId="10" fontId="6" fillId="4" borderId="22" xfId="1" applyNumberFormat="1" applyFont="1" applyFill="1" applyBorder="1" applyAlignment="1" applyProtection="1">
      <alignment horizontal="center" vertical="center" wrapText="1" shrinkToFit="1"/>
      <protection hidden="1"/>
    </xf>
    <xf numFmtId="10" fontId="6" fillId="4" borderId="38" xfId="1" applyNumberFormat="1" applyFont="1" applyFill="1" applyBorder="1" applyAlignment="1" applyProtection="1">
      <alignment horizontal="center" vertical="center" wrapText="1" shrinkToFit="1"/>
      <protection hidden="1"/>
    </xf>
    <xf numFmtId="49" fontId="9" fillId="2" borderId="37" xfId="0" applyNumberFormat="1" applyFont="1" applyFill="1" applyBorder="1" applyAlignment="1" applyProtection="1">
      <alignment horizontal="left" vertical="center" wrapText="1" shrinkToFit="1"/>
      <protection hidden="1"/>
    </xf>
  </cellXfs>
  <cellStyles count="9">
    <cellStyle name="Moeda" xfId="7" builtinId="4"/>
    <cellStyle name="Moeda 2" xfId="2"/>
    <cellStyle name="Normal" xfId="0" builtinId="0"/>
    <cellStyle name="Normal 2" xfId="3"/>
    <cellStyle name="Normal 2 2" xfId="4"/>
    <cellStyle name="Normal 3" xfId="6"/>
    <cellStyle name="Porcentagem" xfId="1" builtinId="5"/>
    <cellStyle name="Porcentagem 2" xfId="8"/>
    <cellStyle name="Texto Explicativo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78015</xdr:colOff>
      <xdr:row>0</xdr:row>
      <xdr:rowOff>190940</xdr:rowOff>
    </xdr:from>
    <xdr:to>
      <xdr:col>1</xdr:col>
      <xdr:colOff>1390525</xdr:colOff>
      <xdr:row>0</xdr:row>
      <xdr:rowOff>1177665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41F49F7-BF39-4177-988D-12AB72BE1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015" y="190940"/>
          <a:ext cx="1976539" cy="98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355600</xdr:colOff>
      <xdr:row>0</xdr:row>
      <xdr:rowOff>115340</xdr:rowOff>
    </xdr:from>
    <xdr:to>
      <xdr:col>2</xdr:col>
      <xdr:colOff>252186</xdr:colOff>
      <xdr:row>2</xdr:row>
      <xdr:rowOff>269028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A8EB96D8-898F-1B40-9D30-291AFB92FF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5600" y="115340"/>
          <a:ext cx="1834243" cy="915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152193</xdr:colOff>
      <xdr:row>27</xdr:row>
      <xdr:rowOff>169561</xdr:rowOff>
    </xdr:from>
    <xdr:to>
      <xdr:col>3</xdr:col>
      <xdr:colOff>133893</xdr:colOff>
      <xdr:row>30</xdr:row>
      <xdr:rowOff>11727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stomShape 1">
              <a:extLst>
                <a:ext uri="{FF2B5EF4-FFF2-40B4-BE49-F238E27FC236}">
                  <a16:creationId xmlns:a16="http://schemas.microsoft.com/office/drawing/2014/main" id="{323F21AF-D4D1-46D3-9FA5-6B21CD2A4DC4}"/>
                </a:ext>
              </a:extLst>
            </xdr:cNvPr>
            <xdr:cNvSpPr/>
          </xdr:nvSpPr>
          <xdr:spPr>
            <a:xfrm>
              <a:off x="391679" y="5351161"/>
              <a:ext cx="5185071" cy="452855"/>
            </a:xfrm>
            <a:prstGeom prst="rect">
              <a:avLst/>
            </a:prstGeom>
            <a:noFill/>
            <a:ln w="9360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/>
          </xdr:style>
          <xdr:txBody>
            <a:bodyPr lIns="0" tIns="0" rIns="0" bIns="0" anchor="ctr"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𝐵𝐷𝐼</m:t>
                    </m:r>
                    <m:r>
                      <a:rPr lang="pt-BR" sz="1100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pt-BR" sz="1100" i="1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pt-BR" sz="1100" i="1"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pt-BR" sz="1100" i="1"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1+</m:t>
                            </m:r>
                            <m:d>
                              <m:dPr>
                                <m:ctrlPr>
                                  <a:rPr lang="pt-BR" sz="1100" i="1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pt-BR" sz="1100" i="1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𝐴𝐶</m:t>
                                </m:r>
                                <m:r>
                                  <a:rPr lang="pt-BR" sz="1100" i="1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lang="pt-BR" sz="1100" i="1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𝑆</m:t>
                                </m:r>
                                <m:r>
                                  <a:rPr lang="pt-BR" sz="1100" i="1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lang="pt-BR" sz="1100" i="1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𝐺</m:t>
                                </m:r>
                                <m:r>
                                  <a:rPr lang="pt-BR" sz="1100" i="1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lang="pt-BR" sz="1100" i="1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𝑅</m:t>
                                </m:r>
                              </m:e>
                            </m:d>
                          </m:e>
                        </m:d>
                        <m:r>
                          <a:rPr lang="pt-BR" sz="1100" i="1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  <m:d>
                          <m:dPr>
                            <m:ctrlPr>
                              <a:rPr lang="pt-BR" sz="1100" i="1"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pt-BR" sz="1100" i="1"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1+</m:t>
                            </m:r>
                            <m:r>
                              <a:rPr lang="pt-BR" sz="1100" i="1"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𝐷𝐹</m:t>
                            </m:r>
                          </m:e>
                        </m:d>
                        <m:r>
                          <a:rPr lang="pt-BR" sz="1100" i="1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  <m:r>
                          <a:rPr lang="pt-BR" sz="1100" i="1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(1+</m:t>
                        </m:r>
                        <m:r>
                          <a:rPr lang="pt-BR" sz="1100" i="1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𝐿</m:t>
                        </m:r>
                        <m:r>
                          <a:rPr lang="pt-BR" sz="1100" i="1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pt-BR" sz="1100" i="1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(1−(</m:t>
                        </m:r>
                        <m:r>
                          <a:rPr lang="pt-BR" sz="1100" i="1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𝐼</m:t>
                        </m:r>
                        <m:r>
                          <a:rPr lang="pt-BR" sz="1100" i="1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pt-BR" sz="1100" i="1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𝐶𝑃𝑅𝐵</m:t>
                        </m:r>
                        <m:r>
                          <a:rPr lang="pt-BR" sz="1100" i="1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pt-BR" sz="1100"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" name="CustomShape 1">
              <a:extLst>
                <a:ext uri="{FF2B5EF4-FFF2-40B4-BE49-F238E27FC236}">
                  <a16:creationId xmlns:a16="http://schemas.microsoft.com/office/drawing/2014/main" id="{323F21AF-D4D1-46D3-9FA5-6B21CD2A4DC4}"/>
                </a:ext>
              </a:extLst>
            </xdr:cNvPr>
            <xdr:cNvSpPr/>
          </xdr:nvSpPr>
          <xdr:spPr>
            <a:xfrm>
              <a:off x="391679" y="5351161"/>
              <a:ext cx="5185071" cy="452855"/>
            </a:xfrm>
            <a:prstGeom prst="rect">
              <a:avLst/>
            </a:prstGeom>
            <a:noFill/>
            <a:ln w="9360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/>
          </xdr:style>
          <xdr:txBody>
            <a:bodyPr lIns="0" tIns="0" rIns="0" bIns="0" anchor="ctr"/>
            <a:lstStyle/>
            <a:p>
              <a:pPr/>
              <a:r>
                <a:rPr lang="pt-BR" sz="1100" i="0"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𝐵𝐷𝐼=((1+(𝐴𝐶+𝑆+𝐺+𝑅))𝑥(1+𝐷𝐹)𝑥 (1+𝐿))/((1−(𝐼+𝐶𝑃𝑅𝐵))</a:t>
              </a:r>
              <a:endParaRPr lang="pt-BR" sz="1100"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327660</xdr:colOff>
      <xdr:row>2</xdr:row>
      <xdr:rowOff>87086</xdr:rowOff>
    </xdr:from>
    <xdr:to>
      <xdr:col>3</xdr:col>
      <xdr:colOff>99060</xdr:colOff>
      <xdr:row>6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45DA206-A4C9-4153-9DAE-F492506B5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460466"/>
          <a:ext cx="2164080" cy="796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%20(D)%20C03/Documents%20and%20Settings/Owner/My%20Documents/z-note/RO/R_Ostras/EstrCalif/18km/SINAL/Rio%20das%20Ostras/RJ106%20AUXILIAR/Pista%20Auxiliar/Memorial%20descritiv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os/Or&#231;amentos/Santa%20Marta%202004/Urbaniza&#231;&#227;o/santa%20marta%20urbanizacao%20-%20ORCAMENTO%2003.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us%20documentos/Comercial/CGOM/ASS/REQUIS~1/2009/014-RI~1/RIOPEQ~1/Rio%20Pequeno_Serpen/MC-R14%20Rev0-Rio%20Pequeno%20(05_2004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us%20documentos/B%20Jacare/Bacia%20Jacarepagu&#225;%20TRABALHO/Andrade/Mem&#243;ria%20de%20c&#225;lculo%20caixa%20de%20deten&#231;&#227;o%20Rio%20Viegas%20Trecho%2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/Sepre_2/DETRAN/Santa%20Luzia/Posto%20Vistoria%20Santa%20Luzi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COLETATO"/>
      <sheetName val="MEMORIAL DESCRITIVO"/>
      <sheetName val="CAUCULO"/>
      <sheetName val="Gráfico"/>
      <sheetName val="Plan1"/>
      <sheetName val="DADOS_COLETATO"/>
      <sheetName val="MEMORIAL_DESCRITIVO"/>
      <sheetName val="12_1"/>
      <sheetName val="SCO0504"/>
      <sheetName val="Resumo_do_Consolidado"/>
      <sheetName val="Predio_02_anda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1"/>
      <sheetName val="Resumo"/>
      <sheetName val="1.1"/>
      <sheetName val="2.1"/>
      <sheetName val="2.2"/>
      <sheetName val="2.3"/>
      <sheetName val="2.4"/>
      <sheetName val="2.5"/>
      <sheetName val="3.1"/>
      <sheetName val="3.2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5.1"/>
      <sheetName val="5.2"/>
      <sheetName val="5.3"/>
      <sheetName val="6.1"/>
      <sheetName val="6.2"/>
      <sheetName val="7.1"/>
      <sheetName val="7.2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8.12"/>
      <sheetName val="8.13"/>
      <sheetName val="8.14"/>
      <sheetName val="8.15"/>
      <sheetName val="8.16"/>
      <sheetName val="8.17"/>
      <sheetName val="8.18"/>
      <sheetName val="8.19"/>
      <sheetName val="8.20"/>
      <sheetName val="8.21"/>
      <sheetName val="8.22"/>
      <sheetName val="8.23"/>
      <sheetName val="8.24"/>
      <sheetName val="8.25"/>
      <sheetName val="8.26"/>
      <sheetName val="9.1"/>
      <sheetName val="9.2"/>
      <sheetName val="9.3"/>
      <sheetName val="9.4"/>
      <sheetName val="9.5"/>
      <sheetName val="9.6"/>
      <sheetName val="10.1"/>
      <sheetName val="10.2"/>
      <sheetName val="10.3"/>
      <sheetName val="10.4"/>
      <sheetName val="10.5"/>
      <sheetName val="10.6"/>
      <sheetName val="10.7"/>
      <sheetName val="10.8"/>
      <sheetName val="10.9"/>
      <sheetName val="10.10"/>
      <sheetName val="10.11"/>
      <sheetName val="10.12"/>
      <sheetName val="10.13"/>
      <sheetName val="10.14"/>
      <sheetName val="10.15"/>
      <sheetName val="10.16"/>
      <sheetName val="10.17"/>
      <sheetName val="10.18"/>
      <sheetName val="10.19"/>
      <sheetName val="10.20"/>
      <sheetName val="10.21"/>
      <sheetName val="10.22"/>
      <sheetName val="10.23"/>
      <sheetName val="10.24"/>
      <sheetName val="10.25"/>
      <sheetName val="10.26"/>
      <sheetName val="10.27"/>
      <sheetName val="10.28"/>
      <sheetName val="10.29"/>
      <sheetName val="10.30"/>
      <sheetName val="11.1"/>
      <sheetName val="12.2"/>
      <sheetName val="12.3"/>
      <sheetName val="12.4"/>
      <sheetName val="12.5"/>
      <sheetName val="12.6"/>
      <sheetName val="12.7"/>
      <sheetName val="12.8"/>
      <sheetName val="12.9"/>
      <sheetName val="12.10"/>
      <sheetName val="12.11"/>
      <sheetName val="12.12"/>
      <sheetName val="12.13"/>
      <sheetName val="Cronogr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cos ancoragem"/>
      <sheetName val="Memoria 06-2004"/>
      <sheetName val="SCO0504"/>
    </sheetNames>
    <sheetDataSet>
      <sheetData sheetId="0" refreshError="1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a poliesportiva"/>
      <sheetName val="Consolidado"/>
      <sheetName val="Resumo do Consolidado"/>
      <sheetName val="Quadro Resumo"/>
      <sheetName val="A - Proj"/>
      <sheetName val="C-Pav"/>
      <sheetName val="D-CX de detenção"/>
      <sheetName val="D-Micro e Macro  Drenagem"/>
      <sheetName val="SCO0504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0504"/>
      <sheetName val="Predio_02_andares"/>
      <sheetName val="Cronograma"/>
      <sheetName val="Subtotais das categorias"/>
      <sheetName val="Grafico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tabSelected="1" zoomScale="70" zoomScaleNormal="70" workbookViewId="0">
      <selection activeCell="I1" sqref="I1:J1"/>
    </sheetView>
  </sheetViews>
  <sheetFormatPr defaultColWidth="8.7109375" defaultRowHeight="15" x14ac:dyDescent="0.25"/>
  <cols>
    <col min="1" max="1" width="9.7109375" style="274" customWidth="1"/>
    <col min="2" max="2" width="78.28515625" style="275" customWidth="1"/>
    <col min="3" max="3" width="8.7109375" style="286"/>
    <col min="4" max="4" width="9" style="283" bestFit="1" customWidth="1"/>
    <col min="5" max="5" width="15.28515625" style="280" bestFit="1" customWidth="1"/>
    <col min="6" max="6" width="9" style="282" bestFit="1" customWidth="1"/>
    <col min="7" max="7" width="15.28515625" style="284" bestFit="1" customWidth="1"/>
    <col min="8" max="8" width="38.42578125" style="282" customWidth="1"/>
    <col min="9" max="9" width="10.7109375" style="358" customWidth="1"/>
    <col min="10" max="10" width="22.7109375" style="360" customWidth="1"/>
    <col min="11" max="11" width="13.140625" style="361" customWidth="1"/>
    <col min="12" max="12" width="8.140625" style="339" customWidth="1"/>
    <col min="13" max="14" width="8.140625" style="279" customWidth="1"/>
    <col min="15" max="15" width="38.5703125" style="340" customWidth="1"/>
    <col min="16" max="16" width="38.5703125" style="279" customWidth="1"/>
    <col min="17" max="17" width="8.140625" style="279" hidden="1" customWidth="1"/>
    <col min="18" max="18" width="8.7109375" style="351" hidden="1" customWidth="1"/>
    <col min="19" max="19" width="9" style="351" hidden="1" customWidth="1"/>
    <col min="20" max="20" width="15" style="351" hidden="1" customWidth="1"/>
  </cols>
  <sheetData>
    <row r="1" spans="1:20" ht="104.65" customHeight="1" thickBot="1" x14ac:dyDescent="0.3">
      <c r="A1" s="381"/>
      <c r="B1" s="382" t="s">
        <v>355</v>
      </c>
      <c r="C1" s="383"/>
      <c r="D1" s="384"/>
      <c r="E1" s="385"/>
      <c r="F1" s="386"/>
      <c r="G1" s="385" t="s">
        <v>3</v>
      </c>
      <c r="H1" s="387">
        <f>'ANEXO BDI - OUTRAS OBRAS E SERV'!D27</f>
        <v>0.20169999999999999</v>
      </c>
      <c r="I1" s="467" t="s">
        <v>415</v>
      </c>
      <c r="J1" s="468"/>
      <c r="K1" s="388" t="s">
        <v>353</v>
      </c>
      <c r="L1" s="478" t="s">
        <v>297</v>
      </c>
      <c r="M1" s="478"/>
      <c r="N1" s="478"/>
      <c r="O1" s="478"/>
      <c r="P1" s="380"/>
    </row>
    <row r="2" spans="1:20" s="310" customFormat="1" ht="34.9" customHeight="1" thickBot="1" x14ac:dyDescent="0.3">
      <c r="A2" s="363" t="s">
        <v>242</v>
      </c>
      <c r="B2" s="364" t="s">
        <v>243</v>
      </c>
      <c r="C2" s="364" t="s">
        <v>244</v>
      </c>
      <c r="D2" s="365" t="s">
        <v>245</v>
      </c>
      <c r="E2" s="366" t="s">
        <v>246</v>
      </c>
      <c r="F2" s="364" t="s">
        <v>7</v>
      </c>
      <c r="G2" s="366" t="s">
        <v>303</v>
      </c>
      <c r="H2" s="364" t="s">
        <v>247</v>
      </c>
      <c r="I2" s="367" t="s">
        <v>302</v>
      </c>
      <c r="J2" s="364" t="s">
        <v>256</v>
      </c>
      <c r="K2" s="368" t="s">
        <v>248</v>
      </c>
      <c r="L2" s="480"/>
      <c r="M2" s="481"/>
      <c r="N2" s="481"/>
      <c r="O2" s="482"/>
      <c r="P2" s="343"/>
      <c r="Q2" s="336"/>
      <c r="R2" s="352"/>
      <c r="S2" s="352"/>
      <c r="T2" s="352"/>
    </row>
    <row r="3" spans="1:20" s="293" customFormat="1" ht="19.899999999999999" customHeight="1" thickBot="1" x14ac:dyDescent="0.3">
      <c r="A3" s="362" t="s">
        <v>250</v>
      </c>
      <c r="B3" s="471" t="s">
        <v>282</v>
      </c>
      <c r="C3" s="471"/>
      <c r="D3" s="471"/>
      <c r="E3" s="471"/>
      <c r="F3" s="471"/>
      <c r="G3" s="471"/>
      <c r="H3" s="471"/>
      <c r="I3" s="471"/>
      <c r="J3" s="471"/>
      <c r="K3" s="472"/>
      <c r="L3" s="479"/>
      <c r="M3" s="479"/>
      <c r="N3" s="479"/>
      <c r="O3" s="479"/>
      <c r="P3" s="341"/>
      <c r="Q3" s="337"/>
      <c r="R3" s="352"/>
      <c r="S3" s="352"/>
      <c r="T3" s="352"/>
    </row>
    <row r="4" spans="1:20" ht="63.75" x14ac:dyDescent="0.25">
      <c r="A4" s="311" t="s">
        <v>283</v>
      </c>
      <c r="B4" s="312" t="s">
        <v>249</v>
      </c>
      <c r="C4" s="313" t="s">
        <v>252</v>
      </c>
      <c r="D4" s="314">
        <v>1</v>
      </c>
      <c r="E4" s="315">
        <v>1156.55</v>
      </c>
      <c r="F4" s="316">
        <f>$H$1</f>
        <v>0.20169999999999999</v>
      </c>
      <c r="G4" s="315">
        <f>E4*(1+F4)</f>
        <v>1389.826135</v>
      </c>
      <c r="H4" s="317">
        <f>G4*D4</f>
        <v>1389.826135</v>
      </c>
      <c r="I4" s="356" t="s">
        <v>257</v>
      </c>
      <c r="J4" s="313" t="s">
        <v>288</v>
      </c>
      <c r="K4" s="359">
        <f t="shared" ref="K4:K9" si="0">$H4/$H$48</f>
        <v>7.5175078916011051E-3</v>
      </c>
      <c r="L4" s="444"/>
      <c r="M4" s="445"/>
      <c r="N4" s="445"/>
      <c r="O4" s="446"/>
      <c r="P4" s="355"/>
      <c r="R4" s="353">
        <f t="shared" ref="R4:S8" si="1">D4</f>
        <v>1</v>
      </c>
      <c r="S4" s="353">
        <f t="shared" si="1"/>
        <v>1156.55</v>
      </c>
      <c r="T4" s="353">
        <f>R4*S4</f>
        <v>1156.55</v>
      </c>
    </row>
    <row r="5" spans="1:20" ht="63.75" x14ac:dyDescent="0.25">
      <c r="A5" s="318" t="s">
        <v>284</v>
      </c>
      <c r="B5" s="276" t="s">
        <v>290</v>
      </c>
      <c r="C5" s="319" t="s">
        <v>289</v>
      </c>
      <c r="D5" s="320">
        <v>1</v>
      </c>
      <c r="E5" s="278">
        <v>794.71</v>
      </c>
      <c r="F5" s="321">
        <f t="shared" ref="F5:F9" si="2">$H$1</f>
        <v>0.20169999999999999</v>
      </c>
      <c r="G5" s="322">
        <f t="shared" ref="G5:G8" si="3">E5*(1+F5)</f>
        <v>955.00300700000003</v>
      </c>
      <c r="H5" s="323">
        <f t="shared" ref="H5:H8" si="4">G5*D5</f>
        <v>955.00300700000003</v>
      </c>
      <c r="I5" s="324" t="s">
        <v>291</v>
      </c>
      <c r="J5" s="324" t="s">
        <v>343</v>
      </c>
      <c r="K5" s="371">
        <f t="shared" si="0"/>
        <v>5.1655688872373129E-3</v>
      </c>
      <c r="L5" s="444"/>
      <c r="M5" s="445"/>
      <c r="N5" s="445"/>
      <c r="O5" s="446"/>
      <c r="P5" s="354"/>
      <c r="R5" s="353">
        <f t="shared" si="1"/>
        <v>1</v>
      </c>
      <c r="S5" s="353">
        <f t="shared" si="1"/>
        <v>794.71</v>
      </c>
      <c r="T5" s="353">
        <f t="shared" ref="T5:T42" si="5">R5*S5</f>
        <v>794.71</v>
      </c>
    </row>
    <row r="6" spans="1:20" ht="38.25" x14ac:dyDescent="0.25">
      <c r="A6" s="318" t="s">
        <v>285</v>
      </c>
      <c r="B6" s="276" t="s">
        <v>292</v>
      </c>
      <c r="C6" s="319" t="s">
        <v>252</v>
      </c>
      <c r="D6" s="320">
        <v>1</v>
      </c>
      <c r="E6" s="322">
        <v>1671.8</v>
      </c>
      <c r="F6" s="321">
        <f t="shared" si="2"/>
        <v>0.20169999999999999</v>
      </c>
      <c r="G6" s="322">
        <f>E6*(1+F6)</f>
        <v>2009.00206</v>
      </c>
      <c r="H6" s="323">
        <f t="shared" si="4"/>
        <v>2009.00206</v>
      </c>
      <c r="I6" s="324" t="s">
        <v>293</v>
      </c>
      <c r="J6" s="324" t="s">
        <v>300</v>
      </c>
      <c r="K6" s="371">
        <f t="shared" si="0"/>
        <v>1.0866602994404676E-2</v>
      </c>
      <c r="L6" s="444"/>
      <c r="M6" s="445"/>
      <c r="N6" s="445"/>
      <c r="O6" s="446"/>
      <c r="P6" s="341"/>
      <c r="R6" s="353">
        <f t="shared" si="1"/>
        <v>1</v>
      </c>
      <c r="S6" s="353">
        <f t="shared" si="1"/>
        <v>1671.8</v>
      </c>
      <c r="T6" s="353">
        <f t="shared" si="5"/>
        <v>1671.8</v>
      </c>
    </row>
    <row r="7" spans="1:20" ht="38.25" x14ac:dyDescent="0.25">
      <c r="A7" s="318" t="s">
        <v>286</v>
      </c>
      <c r="B7" s="276" t="s">
        <v>294</v>
      </c>
      <c r="C7" s="319" t="s">
        <v>289</v>
      </c>
      <c r="D7" s="320">
        <v>1</v>
      </c>
      <c r="E7" s="322">
        <v>980</v>
      </c>
      <c r="F7" s="321">
        <f t="shared" si="2"/>
        <v>0.20169999999999999</v>
      </c>
      <c r="G7" s="322">
        <f t="shared" si="3"/>
        <v>1177.6659999999999</v>
      </c>
      <c r="H7" s="323">
        <f t="shared" si="4"/>
        <v>1177.6659999999999</v>
      </c>
      <c r="I7" s="324" t="s">
        <v>295</v>
      </c>
      <c r="J7" s="324" t="s">
        <v>343</v>
      </c>
      <c r="K7" s="371">
        <f t="shared" si="0"/>
        <v>6.3699431358515265E-3</v>
      </c>
      <c r="L7" s="444"/>
      <c r="M7" s="445"/>
      <c r="N7" s="445"/>
      <c r="O7" s="446"/>
      <c r="P7" s="341"/>
      <c r="R7" s="353">
        <f t="shared" si="1"/>
        <v>1</v>
      </c>
      <c r="S7" s="353">
        <f t="shared" si="1"/>
        <v>980</v>
      </c>
      <c r="T7" s="353">
        <f t="shared" si="5"/>
        <v>980</v>
      </c>
    </row>
    <row r="8" spans="1:20" ht="49.9" customHeight="1" x14ac:dyDescent="0.25">
      <c r="A8" s="318" t="s">
        <v>287</v>
      </c>
      <c r="B8" s="350" t="s">
        <v>308</v>
      </c>
      <c r="C8" s="319" t="s">
        <v>252</v>
      </c>
      <c r="D8" s="320">
        <v>1</v>
      </c>
      <c r="E8" s="322">
        <v>971.63</v>
      </c>
      <c r="F8" s="321">
        <f t="shared" si="2"/>
        <v>0.20169999999999999</v>
      </c>
      <c r="G8" s="322">
        <f t="shared" si="3"/>
        <v>1167.607771</v>
      </c>
      <c r="H8" s="323">
        <f t="shared" si="4"/>
        <v>1167.607771</v>
      </c>
      <c r="I8" s="324" t="s">
        <v>310</v>
      </c>
      <c r="J8" s="324" t="s">
        <v>309</v>
      </c>
      <c r="K8" s="371">
        <f t="shared" si="0"/>
        <v>6.3155386215177738E-3</v>
      </c>
      <c r="L8" s="444"/>
      <c r="M8" s="445"/>
      <c r="N8" s="445"/>
      <c r="O8" s="446"/>
      <c r="P8" s="341"/>
      <c r="R8" s="353">
        <f t="shared" si="1"/>
        <v>1</v>
      </c>
      <c r="S8" s="353">
        <f t="shared" si="1"/>
        <v>971.63</v>
      </c>
      <c r="T8" s="353">
        <f t="shared" si="5"/>
        <v>971.63</v>
      </c>
    </row>
    <row r="9" spans="1:20" ht="28.15" customHeight="1" x14ac:dyDescent="0.25">
      <c r="A9" s="318" t="s">
        <v>298</v>
      </c>
      <c r="B9" s="437" t="s">
        <v>299</v>
      </c>
      <c r="C9" s="319" t="s">
        <v>254</v>
      </c>
      <c r="D9" s="320">
        <v>0.5</v>
      </c>
      <c r="E9" s="322">
        <f>H14+H24+H39+H43</f>
        <v>174255.67109731204</v>
      </c>
      <c r="F9" s="321">
        <f t="shared" si="2"/>
        <v>0.20169999999999999</v>
      </c>
      <c r="G9" s="322">
        <f>E9*(1+F9)</f>
        <v>209403.03995763988</v>
      </c>
      <c r="H9" s="322">
        <f>G9*(D9/100)</f>
        <v>1047.0151997881994</v>
      </c>
      <c r="I9" s="324" t="s">
        <v>258</v>
      </c>
      <c r="J9" s="324" t="s">
        <v>304</v>
      </c>
      <c r="K9" s="390">
        <f t="shared" si="0"/>
        <v>5.6632587550485922E-3</v>
      </c>
      <c r="L9" s="444"/>
      <c r="M9" s="445"/>
      <c r="N9" s="445"/>
      <c r="O9" s="446"/>
      <c r="P9" s="341"/>
      <c r="R9" s="353"/>
      <c r="S9" s="353"/>
      <c r="T9" s="353"/>
    </row>
    <row r="10" spans="1:20" ht="19.899999999999999" customHeight="1" thickBot="1" x14ac:dyDescent="0.3">
      <c r="A10" s="473" t="s">
        <v>260</v>
      </c>
      <c r="B10" s="474"/>
      <c r="C10" s="474"/>
      <c r="D10" s="474"/>
      <c r="E10" s="474"/>
      <c r="F10" s="474"/>
      <c r="G10" s="474"/>
      <c r="H10" s="327">
        <f>SUM(H4:H9)</f>
        <v>7746.1201727881999</v>
      </c>
      <c r="I10" s="469"/>
      <c r="J10" s="470"/>
      <c r="K10" s="370">
        <f>H10/$H$48</f>
        <v>4.1898420285660987E-2</v>
      </c>
      <c r="L10" s="444"/>
      <c r="M10" s="445"/>
      <c r="N10" s="445"/>
      <c r="O10" s="446"/>
      <c r="P10" s="341"/>
      <c r="R10" s="353"/>
      <c r="S10" s="353"/>
      <c r="T10" s="353"/>
    </row>
    <row r="11" spans="1:20" s="285" customFormat="1" ht="19.899999999999999" customHeight="1" thickBot="1" x14ac:dyDescent="0.25">
      <c r="A11" s="328" t="s">
        <v>255</v>
      </c>
      <c r="B11" s="476" t="s">
        <v>305</v>
      </c>
      <c r="C11" s="476"/>
      <c r="D11" s="476"/>
      <c r="E11" s="476"/>
      <c r="F11" s="476"/>
      <c r="G11" s="476"/>
      <c r="H11" s="476"/>
      <c r="I11" s="476"/>
      <c r="J11" s="476"/>
      <c r="K11" s="477"/>
      <c r="L11" s="444"/>
      <c r="M11" s="445"/>
      <c r="N11" s="445"/>
      <c r="O11" s="446"/>
      <c r="P11" s="341"/>
      <c r="Q11" s="281"/>
      <c r="R11" s="353"/>
      <c r="S11" s="353"/>
      <c r="T11" s="353"/>
    </row>
    <row r="12" spans="1:20" s="277" customFormat="1" ht="49.9" customHeight="1" x14ac:dyDescent="0.2">
      <c r="A12" s="318" t="s">
        <v>352</v>
      </c>
      <c r="B12" s="325" t="s">
        <v>320</v>
      </c>
      <c r="C12" s="319" t="s">
        <v>251</v>
      </c>
      <c r="D12" s="320">
        <v>26.04</v>
      </c>
      <c r="E12" s="322">
        <v>68.41</v>
      </c>
      <c r="F12" s="321">
        <f>$H$1</f>
        <v>0.20169999999999999</v>
      </c>
      <c r="G12" s="322">
        <f>E12*(1+F12)</f>
        <v>82.208297000000002</v>
      </c>
      <c r="H12" s="322">
        <f>G12*D12</f>
        <v>2140.7040538800002</v>
      </c>
      <c r="I12" s="324" t="s">
        <v>321</v>
      </c>
      <c r="J12" s="324" t="s">
        <v>345</v>
      </c>
      <c r="K12" s="371">
        <f>$H12/$H$48</f>
        <v>1.1578973235112878E-2</v>
      </c>
      <c r="L12" s="444"/>
      <c r="M12" s="445"/>
      <c r="N12" s="445"/>
      <c r="O12" s="446"/>
      <c r="P12" s="341"/>
      <c r="Q12" s="338"/>
      <c r="R12" s="353">
        <f t="shared" ref="R12:R13" si="6">D12</f>
        <v>26.04</v>
      </c>
      <c r="S12" s="353">
        <f t="shared" ref="S12:S13" si="7">E12</f>
        <v>68.41</v>
      </c>
      <c r="T12" s="353">
        <f t="shared" ref="T12:T13" si="8">R12*S12</f>
        <v>1781.3963999999999</v>
      </c>
    </row>
    <row r="13" spans="1:20" s="277" customFormat="1" ht="37.9" customHeight="1" x14ac:dyDescent="0.2">
      <c r="A13" s="318" t="s">
        <v>322</v>
      </c>
      <c r="B13" s="325" t="s">
        <v>318</v>
      </c>
      <c r="C13" s="319" t="s">
        <v>14</v>
      </c>
      <c r="D13" s="320">
        <v>12.8</v>
      </c>
      <c r="E13" s="322">
        <v>63.18</v>
      </c>
      <c r="F13" s="321">
        <f t="shared" ref="F13" si="9">$H$1</f>
        <v>0.20169999999999999</v>
      </c>
      <c r="G13" s="322">
        <f>E13*(1+F13)</f>
        <v>75.923406</v>
      </c>
      <c r="H13" s="322">
        <f>G13*D13</f>
        <v>971.8195968</v>
      </c>
      <c r="I13" s="324" t="s">
        <v>319</v>
      </c>
      <c r="J13" s="324" t="s">
        <v>344</v>
      </c>
      <c r="K13" s="371">
        <f>$H13/$H$48</f>
        <v>5.2565290752404825E-3</v>
      </c>
      <c r="L13" s="444"/>
      <c r="M13" s="445"/>
      <c r="N13" s="445"/>
      <c r="O13" s="446"/>
      <c r="P13" s="341"/>
      <c r="Q13" s="338"/>
      <c r="R13" s="353">
        <f t="shared" si="6"/>
        <v>12.8</v>
      </c>
      <c r="S13" s="353">
        <f t="shared" si="7"/>
        <v>63.18</v>
      </c>
      <c r="T13" s="353">
        <f t="shared" si="8"/>
        <v>808.70400000000006</v>
      </c>
    </row>
    <row r="14" spans="1:20" ht="19.899999999999999" customHeight="1" thickBot="1" x14ac:dyDescent="0.3">
      <c r="A14" s="450" t="s">
        <v>260</v>
      </c>
      <c r="B14" s="451"/>
      <c r="C14" s="451"/>
      <c r="D14" s="451"/>
      <c r="E14" s="451"/>
      <c r="F14" s="451"/>
      <c r="G14" s="451"/>
      <c r="H14" s="326">
        <f>SUM(H12:H13)</f>
        <v>3112.5236506800002</v>
      </c>
      <c r="I14" s="452"/>
      <c r="J14" s="453"/>
      <c r="K14" s="374">
        <f>H14/$H$48</f>
        <v>1.683550231035336E-2</v>
      </c>
      <c r="L14" s="444"/>
      <c r="M14" s="445"/>
      <c r="N14" s="445"/>
      <c r="O14" s="446"/>
      <c r="P14" s="341"/>
      <c r="R14" s="353"/>
      <c r="S14" s="353"/>
      <c r="T14" s="353"/>
    </row>
    <row r="15" spans="1:20" s="285" customFormat="1" ht="19.899999999999999" customHeight="1" thickBot="1" x14ac:dyDescent="0.25">
      <c r="A15" s="335" t="s">
        <v>259</v>
      </c>
      <c r="B15" s="475" t="s">
        <v>311</v>
      </c>
      <c r="C15" s="476"/>
      <c r="D15" s="476"/>
      <c r="E15" s="476"/>
      <c r="F15" s="476"/>
      <c r="G15" s="476"/>
      <c r="H15" s="476"/>
      <c r="I15" s="476"/>
      <c r="J15" s="476"/>
      <c r="K15" s="477"/>
      <c r="L15" s="444"/>
      <c r="M15" s="445"/>
      <c r="N15" s="445"/>
      <c r="O15" s="446"/>
      <c r="P15" s="341"/>
      <c r="Q15" s="281"/>
      <c r="R15" s="353"/>
      <c r="S15" s="353"/>
      <c r="T15" s="353"/>
    </row>
    <row r="16" spans="1:20" s="378" customFormat="1" ht="30" customHeight="1" x14ac:dyDescent="0.2">
      <c r="A16" s="318" t="s">
        <v>312</v>
      </c>
      <c r="B16" s="325" t="s">
        <v>324</v>
      </c>
      <c r="C16" s="319" t="s">
        <v>251</v>
      </c>
      <c r="D16" s="320">
        <v>9.24</v>
      </c>
      <c r="E16" s="322">
        <v>11.14</v>
      </c>
      <c r="F16" s="321">
        <f t="shared" ref="F16:F23" si="10">$H$1</f>
        <v>0.20169999999999999</v>
      </c>
      <c r="G16" s="322">
        <f>E16*(1+F16)</f>
        <v>13.386938000000001</v>
      </c>
      <c r="H16" s="322">
        <f t="shared" ref="H16" si="11">G16*D16</f>
        <v>123.69530712000001</v>
      </c>
      <c r="I16" s="324" t="s">
        <v>335</v>
      </c>
      <c r="J16" s="324" t="s">
        <v>346</v>
      </c>
      <c r="K16" s="359">
        <f t="shared" ref="K16:K24" si="12">$H16/$H$48</f>
        <v>6.6906242731478241E-4</v>
      </c>
      <c r="L16" s="465"/>
      <c r="M16" s="466"/>
      <c r="N16" s="466"/>
      <c r="O16" s="466"/>
      <c r="P16" s="376"/>
      <c r="Q16" s="377"/>
      <c r="R16" s="347">
        <f>D16</f>
        <v>9.24</v>
      </c>
      <c r="S16" s="347">
        <f t="shared" ref="S16:S17" si="13">E16</f>
        <v>11.14</v>
      </c>
      <c r="T16" s="347">
        <f>R16*S16</f>
        <v>102.93360000000001</v>
      </c>
    </row>
    <row r="17" spans="1:20" s="277" customFormat="1" ht="40.15" customHeight="1" x14ac:dyDescent="0.2">
      <c r="A17" s="344" t="s">
        <v>313</v>
      </c>
      <c r="B17" s="345" t="s">
        <v>323</v>
      </c>
      <c r="C17" s="346" t="s">
        <v>253</v>
      </c>
      <c r="D17" s="347">
        <f>((9.24*0.1)+(2*1*0.4))*1.3</f>
        <v>2.2412000000000005</v>
      </c>
      <c r="E17" s="348">
        <v>110.9</v>
      </c>
      <c r="F17" s="349">
        <f>$H$1</f>
        <v>0.20169999999999999</v>
      </c>
      <c r="G17" s="348">
        <f>E17*(1+F17)</f>
        <v>133.26853</v>
      </c>
      <c r="H17" s="348">
        <f>G17*D17</f>
        <v>298.68142943600009</v>
      </c>
      <c r="I17" s="357" t="s">
        <v>334</v>
      </c>
      <c r="J17" s="357" t="s">
        <v>349</v>
      </c>
      <c r="K17" s="375">
        <f t="shared" si="12"/>
        <v>1.6155545980287881E-3</v>
      </c>
      <c r="L17" s="444"/>
      <c r="M17" s="445"/>
      <c r="N17" s="445"/>
      <c r="O17" s="446"/>
      <c r="P17" s="341"/>
      <c r="Q17" s="338"/>
      <c r="R17" s="347">
        <f t="shared" ref="R17:R23" si="14">D17</f>
        <v>2.2412000000000005</v>
      </c>
      <c r="S17" s="353">
        <f t="shared" si="13"/>
        <v>110.9</v>
      </c>
      <c r="T17" s="347">
        <f t="shared" ref="T17:T23" si="15">R17*S17</f>
        <v>248.54908000000006</v>
      </c>
    </row>
    <row r="18" spans="1:20" s="277" customFormat="1" ht="40.15" customHeight="1" x14ac:dyDescent="0.2">
      <c r="A18" s="318" t="s">
        <v>314</v>
      </c>
      <c r="B18" s="325" t="s">
        <v>325</v>
      </c>
      <c r="C18" s="319" t="s">
        <v>253</v>
      </c>
      <c r="D18" s="320">
        <f>(9.24*0.05)+(2*0.4*0.05)</f>
        <v>0.502</v>
      </c>
      <c r="E18" s="322">
        <v>651.80999999999995</v>
      </c>
      <c r="F18" s="321">
        <f t="shared" si="10"/>
        <v>0.20169999999999999</v>
      </c>
      <c r="G18" s="322">
        <f t="shared" ref="G18:G23" si="16">E18*(1+F18)</f>
        <v>783.28007699999989</v>
      </c>
      <c r="H18" s="322">
        <f t="shared" ref="H18:H23" si="17">G18*D18</f>
        <v>393.20659865399995</v>
      </c>
      <c r="I18" s="324" t="s">
        <v>336</v>
      </c>
      <c r="J18" s="324" t="s">
        <v>347</v>
      </c>
      <c r="K18" s="371">
        <f t="shared" si="12"/>
        <v>2.1268370438371942E-3</v>
      </c>
      <c r="L18" s="444"/>
      <c r="M18" s="445"/>
      <c r="N18" s="445"/>
      <c r="O18" s="446"/>
      <c r="P18" s="341"/>
      <c r="Q18" s="338"/>
      <c r="R18" s="347">
        <f t="shared" si="14"/>
        <v>0.502</v>
      </c>
      <c r="S18" s="353">
        <f t="shared" ref="S18:S23" si="18">E18</f>
        <v>651.80999999999995</v>
      </c>
      <c r="T18" s="347">
        <f t="shared" si="15"/>
        <v>327.20862</v>
      </c>
    </row>
    <row r="19" spans="1:20" s="277" customFormat="1" ht="37.9" customHeight="1" x14ac:dyDescent="0.2">
      <c r="A19" s="318" t="s">
        <v>315</v>
      </c>
      <c r="B19" s="325" t="s">
        <v>326</v>
      </c>
      <c r="C19" s="319" t="s">
        <v>281</v>
      </c>
      <c r="D19" s="320">
        <f>16+60</f>
        <v>76</v>
      </c>
      <c r="E19" s="322">
        <v>14</v>
      </c>
      <c r="F19" s="321">
        <f t="shared" si="10"/>
        <v>0.20169999999999999</v>
      </c>
      <c r="G19" s="322">
        <f t="shared" si="16"/>
        <v>16.823799999999999</v>
      </c>
      <c r="H19" s="322">
        <f t="shared" si="17"/>
        <v>1278.6088</v>
      </c>
      <c r="I19" s="324" t="s">
        <v>337</v>
      </c>
      <c r="J19" s="324" t="s">
        <v>348</v>
      </c>
      <c r="K19" s="371">
        <f t="shared" si="12"/>
        <v>6.9159382617816571E-3</v>
      </c>
      <c r="L19" s="444"/>
      <c r="M19" s="445"/>
      <c r="N19" s="445"/>
      <c r="O19" s="446"/>
      <c r="P19" s="341"/>
      <c r="Q19" s="338"/>
      <c r="R19" s="347">
        <f t="shared" si="14"/>
        <v>76</v>
      </c>
      <c r="S19" s="353">
        <f t="shared" si="18"/>
        <v>14</v>
      </c>
      <c r="T19" s="347">
        <f t="shared" si="15"/>
        <v>1064</v>
      </c>
    </row>
    <row r="20" spans="1:20" s="277" customFormat="1" ht="30" customHeight="1" x14ac:dyDescent="0.2">
      <c r="A20" s="318" t="s">
        <v>316</v>
      </c>
      <c r="B20" s="325" t="s">
        <v>341</v>
      </c>
      <c r="C20" s="319" t="s">
        <v>251</v>
      </c>
      <c r="D20" s="320">
        <f>5.44*1.15</f>
        <v>6.2560000000000002</v>
      </c>
      <c r="E20" s="322">
        <v>91.97</v>
      </c>
      <c r="F20" s="321">
        <f t="shared" si="10"/>
        <v>0.20169999999999999</v>
      </c>
      <c r="G20" s="322">
        <f t="shared" si="16"/>
        <v>110.520349</v>
      </c>
      <c r="H20" s="322">
        <f t="shared" si="17"/>
        <v>691.41530334399999</v>
      </c>
      <c r="I20" s="324" t="s">
        <v>338</v>
      </c>
      <c r="J20" s="324" t="s">
        <v>421</v>
      </c>
      <c r="K20" s="371">
        <f t="shared" si="12"/>
        <v>3.7398346946917157E-3</v>
      </c>
      <c r="L20" s="444"/>
      <c r="M20" s="445"/>
      <c r="N20" s="445"/>
      <c r="O20" s="446"/>
      <c r="P20" s="341"/>
      <c r="Q20" s="338"/>
      <c r="R20" s="347">
        <f t="shared" si="14"/>
        <v>6.2560000000000002</v>
      </c>
      <c r="S20" s="353">
        <f t="shared" si="18"/>
        <v>91.97</v>
      </c>
      <c r="T20" s="347">
        <f t="shared" si="15"/>
        <v>575.36432000000002</v>
      </c>
    </row>
    <row r="21" spans="1:20" s="277" customFormat="1" ht="40.15" customHeight="1" x14ac:dyDescent="0.2">
      <c r="A21" s="318" t="s">
        <v>330</v>
      </c>
      <c r="B21" s="325" t="s">
        <v>327</v>
      </c>
      <c r="C21" s="319" t="s">
        <v>253</v>
      </c>
      <c r="D21" s="320">
        <f>(2*(0.4*0.4*2.2)+(9.24*0.15))*1.15</f>
        <v>2.4034999999999997</v>
      </c>
      <c r="E21" s="322">
        <v>722.61</v>
      </c>
      <c r="F21" s="321">
        <f t="shared" si="10"/>
        <v>0.20169999999999999</v>
      </c>
      <c r="G21" s="322">
        <f t="shared" si="16"/>
        <v>868.36043700000005</v>
      </c>
      <c r="H21" s="322">
        <f t="shared" si="17"/>
        <v>2087.1043103295001</v>
      </c>
      <c r="I21" s="324" t="s">
        <v>342</v>
      </c>
      <c r="J21" s="324" t="s">
        <v>420</v>
      </c>
      <c r="K21" s="371">
        <f t="shared" si="12"/>
        <v>1.128905460070133E-2</v>
      </c>
      <c r="L21" s="444"/>
      <c r="M21" s="445"/>
      <c r="N21" s="445"/>
      <c r="O21" s="446"/>
      <c r="P21" s="341"/>
      <c r="Q21" s="338"/>
      <c r="R21" s="347">
        <f t="shared" si="14"/>
        <v>2.4034999999999997</v>
      </c>
      <c r="S21" s="353">
        <f t="shared" si="18"/>
        <v>722.61</v>
      </c>
      <c r="T21" s="347">
        <f t="shared" si="15"/>
        <v>1736.7931349999999</v>
      </c>
    </row>
    <row r="22" spans="1:20" s="277" customFormat="1" ht="40.15" customHeight="1" x14ac:dyDescent="0.2">
      <c r="A22" s="318" t="s">
        <v>331</v>
      </c>
      <c r="B22" s="325" t="s">
        <v>328</v>
      </c>
      <c r="C22" s="319" t="s">
        <v>253</v>
      </c>
      <c r="D22" s="320">
        <f>D17</f>
        <v>2.2412000000000005</v>
      </c>
      <c r="E22" s="322">
        <v>45.32</v>
      </c>
      <c r="F22" s="321">
        <f t="shared" si="10"/>
        <v>0.20169999999999999</v>
      </c>
      <c r="G22" s="322">
        <f t="shared" si="16"/>
        <v>54.461044000000001</v>
      </c>
      <c r="H22" s="322">
        <f t="shared" si="17"/>
        <v>122.05809181280003</v>
      </c>
      <c r="I22" s="324" t="s">
        <v>339</v>
      </c>
      <c r="J22" s="324" t="s">
        <v>419</v>
      </c>
      <c r="K22" s="371">
        <f t="shared" si="12"/>
        <v>6.6020680236848219E-4</v>
      </c>
      <c r="L22" s="444"/>
      <c r="M22" s="445"/>
      <c r="N22" s="445"/>
      <c r="O22" s="446"/>
      <c r="P22" s="341"/>
      <c r="Q22" s="338"/>
      <c r="R22" s="347">
        <f t="shared" si="14"/>
        <v>2.2412000000000005</v>
      </c>
      <c r="S22" s="353">
        <f t="shared" si="18"/>
        <v>45.32</v>
      </c>
      <c r="T22" s="347">
        <f t="shared" si="15"/>
        <v>101.57118400000003</v>
      </c>
    </row>
    <row r="23" spans="1:20" s="277" customFormat="1" ht="40.15" customHeight="1" x14ac:dyDescent="0.25">
      <c r="A23" s="318" t="s">
        <v>332</v>
      </c>
      <c r="B23" s="325" t="s">
        <v>329</v>
      </c>
      <c r="C23" s="319" t="s">
        <v>333</v>
      </c>
      <c r="D23" s="320">
        <f>D22*5</f>
        <v>11.206000000000003</v>
      </c>
      <c r="E23" s="322">
        <v>3.09</v>
      </c>
      <c r="F23" s="321">
        <f t="shared" si="10"/>
        <v>0.20169999999999999</v>
      </c>
      <c r="G23" s="322">
        <f t="shared" si="16"/>
        <v>3.7132529999999999</v>
      </c>
      <c r="H23" s="322">
        <f t="shared" si="17"/>
        <v>41.610713118000014</v>
      </c>
      <c r="I23" s="324" t="s">
        <v>340</v>
      </c>
      <c r="J23" s="324" t="s">
        <v>418</v>
      </c>
      <c r="K23" s="371">
        <f t="shared" si="12"/>
        <v>2.2507050080743714E-4</v>
      </c>
      <c r="L23" s="486"/>
      <c r="M23" s="487"/>
      <c r="N23" s="487"/>
      <c r="O23" s="488"/>
      <c r="P23" s="342"/>
      <c r="Q23" s="338"/>
      <c r="R23" s="347">
        <f t="shared" si="14"/>
        <v>11.206000000000003</v>
      </c>
      <c r="S23" s="353">
        <f t="shared" si="18"/>
        <v>3.09</v>
      </c>
      <c r="T23" s="347">
        <f t="shared" si="15"/>
        <v>34.626540000000006</v>
      </c>
    </row>
    <row r="24" spans="1:20" ht="19.899999999999999" customHeight="1" thickBot="1" x14ac:dyDescent="0.3">
      <c r="A24" s="450" t="s">
        <v>260</v>
      </c>
      <c r="B24" s="451"/>
      <c r="C24" s="451"/>
      <c r="D24" s="451"/>
      <c r="E24" s="451"/>
      <c r="F24" s="451"/>
      <c r="G24" s="451"/>
      <c r="H24" s="326">
        <f>SUM(H16:H23)</f>
        <v>5036.3805538142988</v>
      </c>
      <c r="I24" s="452"/>
      <c r="J24" s="453"/>
      <c r="K24" s="379">
        <f t="shared" si="12"/>
        <v>2.7241558929531381E-2</v>
      </c>
      <c r="L24" s="444"/>
      <c r="M24" s="445"/>
      <c r="N24" s="445"/>
      <c r="O24" s="446"/>
      <c r="P24" s="341"/>
      <c r="R24" s="353"/>
      <c r="S24" s="353"/>
      <c r="T24" s="353"/>
    </row>
    <row r="25" spans="1:20" s="285" customFormat="1" ht="19.899999999999999" customHeight="1" thickBot="1" x14ac:dyDescent="0.25">
      <c r="A25" s="328" t="s">
        <v>261</v>
      </c>
      <c r="B25" s="476" t="s">
        <v>416</v>
      </c>
      <c r="C25" s="476"/>
      <c r="D25" s="476"/>
      <c r="E25" s="476"/>
      <c r="F25" s="476"/>
      <c r="G25" s="476"/>
      <c r="H25" s="476"/>
      <c r="I25" s="476"/>
      <c r="J25" s="476"/>
      <c r="K25" s="477"/>
      <c r="L25" s="444"/>
      <c r="M25" s="445"/>
      <c r="N25" s="445"/>
      <c r="O25" s="446"/>
      <c r="P25" s="341"/>
      <c r="Q25" s="281"/>
      <c r="R25" s="353"/>
      <c r="S25" s="353"/>
      <c r="T25" s="353"/>
    </row>
    <row r="26" spans="1:20" s="281" customFormat="1" ht="25.5" x14ac:dyDescent="0.2">
      <c r="A26" s="311" t="s">
        <v>317</v>
      </c>
      <c r="B26" s="333" t="s">
        <v>409</v>
      </c>
      <c r="C26" s="313" t="s">
        <v>103</v>
      </c>
      <c r="D26" s="314">
        <v>14</v>
      </c>
      <c r="E26" s="315">
        <v>5.62</v>
      </c>
      <c r="F26" s="316">
        <f>$H$1</f>
        <v>0.20169999999999999</v>
      </c>
      <c r="G26" s="315">
        <f t="shared" ref="G26:G38" si="19">E26*(1+F26)</f>
        <v>6.7535540000000003</v>
      </c>
      <c r="H26" s="315">
        <f t="shared" ref="H26:H38" si="20">G26*D26</f>
        <v>94.549756000000002</v>
      </c>
      <c r="I26" s="356" t="s">
        <v>410</v>
      </c>
      <c r="J26" s="356" t="s">
        <v>375</v>
      </c>
      <c r="K26" s="389">
        <f t="shared" ref="K26:K38" si="21">$H26/$H$48</f>
        <v>5.1141543462122257E-4</v>
      </c>
      <c r="L26" s="444"/>
      <c r="M26" s="445"/>
      <c r="N26" s="445"/>
      <c r="O26" s="446"/>
      <c r="P26" s="341"/>
      <c r="R26" s="353">
        <f t="shared" ref="R26:R27" si="22">D26</f>
        <v>14</v>
      </c>
      <c r="S26" s="353">
        <f t="shared" ref="S26:S27" si="23">E26</f>
        <v>5.62</v>
      </c>
      <c r="T26" s="353">
        <f t="shared" ref="T26:T27" si="24">R26*S26</f>
        <v>78.680000000000007</v>
      </c>
    </row>
    <row r="27" spans="1:20" s="281" customFormat="1" ht="38.25" x14ac:dyDescent="0.2">
      <c r="A27" s="318" t="s">
        <v>362</v>
      </c>
      <c r="B27" s="325" t="s">
        <v>373</v>
      </c>
      <c r="C27" s="319" t="s">
        <v>14</v>
      </c>
      <c r="D27" s="320">
        <v>400</v>
      </c>
      <c r="E27" s="322">
        <v>266.82</v>
      </c>
      <c r="F27" s="321">
        <f>$H$1</f>
        <v>0.20169999999999999</v>
      </c>
      <c r="G27" s="322">
        <f t="shared" si="19"/>
        <v>320.63759399999998</v>
      </c>
      <c r="H27" s="322">
        <f t="shared" si="20"/>
        <v>128255.0376</v>
      </c>
      <c r="I27" s="324" t="s">
        <v>374</v>
      </c>
      <c r="J27" s="324" t="s">
        <v>376</v>
      </c>
      <c r="K27" s="390">
        <f t="shared" si="21"/>
        <v>0.69372580714608334</v>
      </c>
      <c r="L27" s="444"/>
      <c r="M27" s="445"/>
      <c r="N27" s="445"/>
      <c r="O27" s="446"/>
      <c r="P27" s="341"/>
      <c r="R27" s="353">
        <f t="shared" si="22"/>
        <v>400</v>
      </c>
      <c r="S27" s="353">
        <f t="shared" si="23"/>
        <v>266.82</v>
      </c>
      <c r="T27" s="353">
        <f t="shared" si="24"/>
        <v>106728</v>
      </c>
    </row>
    <row r="28" spans="1:20" s="281" customFormat="1" ht="38.25" x14ac:dyDescent="0.2">
      <c r="A28" s="318" t="s">
        <v>363</v>
      </c>
      <c r="B28" s="325" t="s">
        <v>377</v>
      </c>
      <c r="C28" s="319" t="s">
        <v>14</v>
      </c>
      <c r="D28" s="320">
        <v>100</v>
      </c>
      <c r="E28" s="322">
        <v>139.44</v>
      </c>
      <c r="F28" s="321">
        <f t="shared" ref="F28:F38" si="25">$H$1</f>
        <v>0.20169999999999999</v>
      </c>
      <c r="G28" s="322">
        <f t="shared" si="19"/>
        <v>167.56504799999999</v>
      </c>
      <c r="H28" s="322">
        <f t="shared" si="20"/>
        <v>16756.504799999999</v>
      </c>
      <c r="I28" s="324" t="s">
        <v>378</v>
      </c>
      <c r="J28" s="324" t="s">
        <v>379</v>
      </c>
      <c r="K28" s="390">
        <f t="shared" si="21"/>
        <v>9.0635190904401711E-2</v>
      </c>
      <c r="L28" s="444"/>
      <c r="M28" s="445"/>
      <c r="N28" s="445"/>
      <c r="O28" s="446"/>
      <c r="P28" s="341"/>
      <c r="R28" s="353"/>
      <c r="S28" s="353"/>
      <c r="T28" s="353"/>
    </row>
    <row r="29" spans="1:20" s="281" customFormat="1" ht="63.75" x14ac:dyDescent="0.2">
      <c r="A29" s="318" t="s">
        <v>364</v>
      </c>
      <c r="B29" s="325" t="s">
        <v>380</v>
      </c>
      <c r="C29" s="319" t="s">
        <v>12</v>
      </c>
      <c r="D29" s="320">
        <v>3</v>
      </c>
      <c r="E29" s="322">
        <v>1432.45</v>
      </c>
      <c r="F29" s="321">
        <f t="shared" si="25"/>
        <v>0.20169999999999999</v>
      </c>
      <c r="G29" s="322">
        <f t="shared" si="19"/>
        <v>1721.3751650000002</v>
      </c>
      <c r="H29" s="322">
        <f t="shared" si="20"/>
        <v>5164.1254950000002</v>
      </c>
      <c r="I29" s="324" t="s">
        <v>381</v>
      </c>
      <c r="J29" s="324" t="s">
        <v>382</v>
      </c>
      <c r="K29" s="390">
        <f t="shared" si="21"/>
        <v>2.7932525647807713E-2</v>
      </c>
      <c r="L29" s="444"/>
      <c r="M29" s="445"/>
      <c r="N29" s="445"/>
      <c r="O29" s="446"/>
      <c r="P29" s="341"/>
      <c r="R29" s="353"/>
      <c r="S29" s="353"/>
      <c r="T29" s="353"/>
    </row>
    <row r="30" spans="1:20" s="281" customFormat="1" ht="38.25" x14ac:dyDescent="0.2">
      <c r="A30" s="318" t="s">
        <v>365</v>
      </c>
      <c r="B30" s="325" t="s">
        <v>383</v>
      </c>
      <c r="C30" s="319" t="s">
        <v>12</v>
      </c>
      <c r="D30" s="320">
        <v>4</v>
      </c>
      <c r="E30" s="322">
        <v>57.9</v>
      </c>
      <c r="F30" s="321">
        <f t="shared" si="25"/>
        <v>0.20169999999999999</v>
      </c>
      <c r="G30" s="322">
        <f t="shared" si="19"/>
        <v>69.578429999999997</v>
      </c>
      <c r="H30" s="322">
        <f t="shared" si="20"/>
        <v>278.31371999999999</v>
      </c>
      <c r="I30" s="324" t="s">
        <v>413</v>
      </c>
      <c r="J30" s="324" t="s">
        <v>384</v>
      </c>
      <c r="K30" s="390">
        <f t="shared" si="21"/>
        <v>1.505386561493075E-3</v>
      </c>
      <c r="L30" s="444"/>
      <c r="M30" s="445"/>
      <c r="N30" s="445"/>
      <c r="O30" s="446"/>
      <c r="P30" s="341"/>
      <c r="R30" s="353"/>
      <c r="S30" s="353"/>
      <c r="T30" s="353"/>
    </row>
    <row r="31" spans="1:20" s="281" customFormat="1" ht="38.25" x14ac:dyDescent="0.2">
      <c r="A31" s="318" t="s">
        <v>366</v>
      </c>
      <c r="B31" s="325" t="s">
        <v>385</v>
      </c>
      <c r="C31" s="319" t="s">
        <v>386</v>
      </c>
      <c r="D31" s="320">
        <f>D32*0.9*0.5</f>
        <v>18.900000000000002</v>
      </c>
      <c r="E31" s="322">
        <v>45.28</v>
      </c>
      <c r="F31" s="321">
        <f t="shared" si="25"/>
        <v>0.20169999999999999</v>
      </c>
      <c r="G31" s="322">
        <f t="shared" ref="G31" si="26">E31*(1+F31)</f>
        <v>54.412976</v>
      </c>
      <c r="H31" s="322">
        <f t="shared" ref="H31" si="27">G31*D31</f>
        <v>1028.4052464000001</v>
      </c>
      <c r="I31" s="324" t="s">
        <v>387</v>
      </c>
      <c r="J31" s="324" t="s">
        <v>404</v>
      </c>
      <c r="K31" s="371">
        <f t="shared" si="21"/>
        <v>5.5625983429761737E-3</v>
      </c>
      <c r="L31" s="444"/>
      <c r="M31" s="445"/>
      <c r="N31" s="445"/>
      <c r="O31" s="446"/>
      <c r="P31" s="341"/>
      <c r="R31" s="353"/>
      <c r="S31" s="353"/>
      <c r="T31" s="353"/>
    </row>
    <row r="32" spans="1:20" s="281" customFormat="1" ht="28.15" customHeight="1" x14ac:dyDescent="0.2">
      <c r="A32" s="318" t="s">
        <v>367</v>
      </c>
      <c r="B32" s="325" t="s">
        <v>398</v>
      </c>
      <c r="C32" s="319" t="s">
        <v>14</v>
      </c>
      <c r="D32" s="320">
        <v>42</v>
      </c>
      <c r="E32" s="322">
        <v>118.55</v>
      </c>
      <c r="F32" s="321">
        <f t="shared" si="25"/>
        <v>0.20169999999999999</v>
      </c>
      <c r="G32" s="322">
        <f t="shared" si="19"/>
        <v>142.461535</v>
      </c>
      <c r="H32" s="322">
        <f t="shared" si="20"/>
        <v>5983.38447</v>
      </c>
      <c r="I32" s="324" t="s">
        <v>399</v>
      </c>
      <c r="J32" s="324" t="s">
        <v>400</v>
      </c>
      <c r="K32" s="371">
        <f t="shared" si="21"/>
        <v>3.2363861089508505E-2</v>
      </c>
      <c r="L32" s="444"/>
      <c r="M32" s="445"/>
      <c r="N32" s="445"/>
      <c r="O32" s="446"/>
      <c r="P32" s="341"/>
      <c r="R32" s="353"/>
      <c r="S32" s="353"/>
      <c r="T32" s="353"/>
    </row>
    <row r="33" spans="1:20" s="281" customFormat="1" ht="38.25" x14ac:dyDescent="0.2">
      <c r="A33" s="318" t="s">
        <v>368</v>
      </c>
      <c r="B33" s="325" t="s">
        <v>402</v>
      </c>
      <c r="C33" s="319" t="s">
        <v>386</v>
      </c>
      <c r="D33" s="320">
        <f>D31-(0.075*0.075*3.1416*42)</f>
        <v>18.157797000000002</v>
      </c>
      <c r="E33" s="322">
        <v>28.57</v>
      </c>
      <c r="F33" s="321">
        <f t="shared" si="25"/>
        <v>0.20169999999999999</v>
      </c>
      <c r="G33" s="322">
        <f t="shared" si="19"/>
        <v>34.332568999999999</v>
      </c>
      <c r="H33" s="322">
        <f t="shared" si="20"/>
        <v>623.40381839049303</v>
      </c>
      <c r="I33" s="324" t="s">
        <v>403</v>
      </c>
      <c r="J33" s="324" t="s">
        <v>405</v>
      </c>
      <c r="K33" s="371">
        <f t="shared" si="21"/>
        <v>3.3719635905427791E-3</v>
      </c>
      <c r="L33" s="444"/>
      <c r="M33" s="445"/>
      <c r="N33" s="445"/>
      <c r="O33" s="446"/>
      <c r="P33" s="341"/>
      <c r="R33" s="353"/>
      <c r="S33" s="353"/>
      <c r="T33" s="353"/>
    </row>
    <row r="34" spans="1:20" s="281" customFormat="1" ht="28.15" customHeight="1" x14ac:dyDescent="0.2">
      <c r="A34" s="318" t="s">
        <v>369</v>
      </c>
      <c r="B34" s="325" t="s">
        <v>388</v>
      </c>
      <c r="C34" s="319" t="s">
        <v>386</v>
      </c>
      <c r="D34" s="320">
        <f>D33</f>
        <v>18.157797000000002</v>
      </c>
      <c r="E34" s="322">
        <v>77.290000000000006</v>
      </c>
      <c r="F34" s="321">
        <f t="shared" si="25"/>
        <v>0.20169999999999999</v>
      </c>
      <c r="G34" s="322">
        <f t="shared" si="19"/>
        <v>92.879393000000007</v>
      </c>
      <c r="H34" s="322">
        <f t="shared" si="20"/>
        <v>1686.4851635772213</v>
      </c>
      <c r="I34" s="324" t="s">
        <v>389</v>
      </c>
      <c r="J34" s="324" t="s">
        <v>406</v>
      </c>
      <c r="K34" s="371">
        <f t="shared" si="21"/>
        <v>9.1221234131274569E-3</v>
      </c>
      <c r="L34" s="444"/>
      <c r="M34" s="445"/>
      <c r="N34" s="445"/>
      <c r="O34" s="446"/>
      <c r="P34" s="341"/>
      <c r="R34" s="353"/>
      <c r="S34" s="353"/>
      <c r="T34" s="353"/>
    </row>
    <row r="35" spans="1:20" s="281" customFormat="1" ht="38.25" x14ac:dyDescent="0.2">
      <c r="A35" s="318" t="s">
        <v>370</v>
      </c>
      <c r="B35" s="325" t="s">
        <v>396</v>
      </c>
      <c r="C35" s="319" t="s">
        <v>13</v>
      </c>
      <c r="D35" s="320">
        <f>D32*0.7</f>
        <v>29.4</v>
      </c>
      <c r="E35" s="322">
        <v>61.34</v>
      </c>
      <c r="F35" s="321">
        <f t="shared" si="25"/>
        <v>0.20169999999999999</v>
      </c>
      <c r="G35" s="322">
        <f t="shared" si="19"/>
        <v>73.712277999999998</v>
      </c>
      <c r="H35" s="322">
        <f t="shared" si="20"/>
        <v>2167.1409731999997</v>
      </c>
      <c r="I35" s="324" t="s">
        <v>397</v>
      </c>
      <c r="J35" s="324" t="s">
        <v>407</v>
      </c>
      <c r="K35" s="371">
        <f t="shared" si="21"/>
        <v>1.1721969358593978E-2</v>
      </c>
      <c r="L35" s="444"/>
      <c r="M35" s="445"/>
      <c r="N35" s="445"/>
      <c r="O35" s="446"/>
      <c r="P35" s="341"/>
      <c r="R35" s="353"/>
      <c r="S35" s="353"/>
      <c r="T35" s="353"/>
    </row>
    <row r="36" spans="1:20" s="281" customFormat="1" ht="38.25" x14ac:dyDescent="0.2">
      <c r="A36" s="318" t="s">
        <v>371</v>
      </c>
      <c r="B36" s="325" t="s">
        <v>390</v>
      </c>
      <c r="C36" s="319" t="s">
        <v>13</v>
      </c>
      <c r="D36" s="320">
        <v>5.75</v>
      </c>
      <c r="E36" s="322">
        <v>80.55</v>
      </c>
      <c r="F36" s="321">
        <f t="shared" si="25"/>
        <v>0.20169999999999999</v>
      </c>
      <c r="G36" s="322">
        <f t="shared" si="19"/>
        <v>96.796934999999991</v>
      </c>
      <c r="H36" s="322">
        <f t="shared" si="20"/>
        <v>556.58237624999992</v>
      </c>
      <c r="I36" s="324" t="s">
        <v>391</v>
      </c>
      <c r="J36" s="324" t="s">
        <v>408</v>
      </c>
      <c r="K36" s="371">
        <f t="shared" si="21"/>
        <v>3.0105293751620738E-3</v>
      </c>
      <c r="L36" s="444"/>
      <c r="M36" s="445"/>
      <c r="N36" s="445"/>
      <c r="O36" s="446"/>
      <c r="P36" s="341"/>
      <c r="R36" s="353"/>
      <c r="S36" s="353"/>
      <c r="T36" s="353"/>
    </row>
    <row r="37" spans="1:20" s="281" customFormat="1" ht="38.25" x14ac:dyDescent="0.2">
      <c r="A37" s="318" t="s">
        <v>372</v>
      </c>
      <c r="B37" s="325" t="s">
        <v>392</v>
      </c>
      <c r="C37" s="319" t="s">
        <v>12</v>
      </c>
      <c r="D37" s="320">
        <v>24</v>
      </c>
      <c r="E37" s="322">
        <v>52.52</v>
      </c>
      <c r="F37" s="321">
        <f t="shared" si="25"/>
        <v>0.20169999999999999</v>
      </c>
      <c r="G37" s="322">
        <f t="shared" si="19"/>
        <v>63.113284</v>
      </c>
      <c r="H37" s="322">
        <f t="shared" si="20"/>
        <v>1514.7188160000001</v>
      </c>
      <c r="I37" s="324" t="s">
        <v>411</v>
      </c>
      <c r="J37" s="324" t="s">
        <v>393</v>
      </c>
      <c r="K37" s="371">
        <f t="shared" si="21"/>
        <v>8.1930468611001346E-3</v>
      </c>
      <c r="L37" s="444"/>
      <c r="M37" s="445"/>
      <c r="N37" s="445"/>
      <c r="O37" s="446"/>
      <c r="P37" s="341"/>
      <c r="R37" s="353"/>
      <c r="S37" s="353"/>
      <c r="T37" s="353"/>
    </row>
    <row r="38" spans="1:20" s="281" customFormat="1" ht="38.25" x14ac:dyDescent="0.2">
      <c r="A38" s="318" t="s">
        <v>401</v>
      </c>
      <c r="B38" s="325" t="s">
        <v>394</v>
      </c>
      <c r="C38" s="319" t="s">
        <v>12</v>
      </c>
      <c r="D38" s="320">
        <v>6</v>
      </c>
      <c r="E38" s="322">
        <v>35.68</v>
      </c>
      <c r="F38" s="321">
        <f t="shared" si="25"/>
        <v>0.20169999999999999</v>
      </c>
      <c r="G38" s="322">
        <f t="shared" si="19"/>
        <v>42.876655999999997</v>
      </c>
      <c r="H38" s="322">
        <f t="shared" si="20"/>
        <v>257.25993599999998</v>
      </c>
      <c r="I38" s="324" t="s">
        <v>412</v>
      </c>
      <c r="J38" s="324" t="s">
        <v>395</v>
      </c>
      <c r="K38" s="371">
        <f t="shared" si="21"/>
        <v>1.3915075780847905E-3</v>
      </c>
      <c r="L38" s="444"/>
      <c r="M38" s="445"/>
      <c r="N38" s="445"/>
      <c r="O38" s="446"/>
      <c r="P38" s="341"/>
      <c r="R38" s="353"/>
      <c r="S38" s="353"/>
      <c r="T38" s="353"/>
    </row>
    <row r="39" spans="1:20" ht="19.899999999999999" customHeight="1" thickBot="1" x14ac:dyDescent="0.3">
      <c r="A39" s="450" t="s">
        <v>260</v>
      </c>
      <c r="B39" s="451"/>
      <c r="C39" s="451"/>
      <c r="D39" s="451"/>
      <c r="E39" s="451"/>
      <c r="F39" s="451"/>
      <c r="G39" s="451"/>
      <c r="H39" s="326">
        <f>SUM(H26:H38)</f>
        <v>164365.91217081776</v>
      </c>
      <c r="I39" s="452"/>
      <c r="J39" s="453"/>
      <c r="K39" s="370">
        <f>H39/$H$48</f>
        <v>0.88904792530350329</v>
      </c>
      <c r="L39" s="444"/>
      <c r="M39" s="445"/>
      <c r="N39" s="445"/>
      <c r="O39" s="446"/>
      <c r="P39" s="341"/>
      <c r="R39" s="353"/>
      <c r="S39" s="353"/>
      <c r="T39" s="353"/>
    </row>
    <row r="40" spans="1:20" s="285" customFormat="1" ht="19.899999999999999" customHeight="1" thickBot="1" x14ac:dyDescent="0.25">
      <c r="A40" s="328" t="s">
        <v>359</v>
      </c>
      <c r="B40" s="476" t="s">
        <v>265</v>
      </c>
      <c r="C40" s="476"/>
      <c r="D40" s="476"/>
      <c r="E40" s="476"/>
      <c r="F40" s="476"/>
      <c r="G40" s="476"/>
      <c r="H40" s="476"/>
      <c r="I40" s="476"/>
      <c r="J40" s="476"/>
      <c r="K40" s="477"/>
      <c r="L40" s="444"/>
      <c r="M40" s="445"/>
      <c r="N40" s="445"/>
      <c r="O40" s="446"/>
      <c r="P40" s="341"/>
      <c r="Q40" s="281"/>
      <c r="R40" s="353"/>
      <c r="S40" s="353"/>
      <c r="T40" s="353"/>
    </row>
    <row r="41" spans="1:20" s="281" customFormat="1" ht="28.15" customHeight="1" x14ac:dyDescent="0.2">
      <c r="A41" s="311" t="s">
        <v>360</v>
      </c>
      <c r="B41" s="333" t="s">
        <v>262</v>
      </c>
      <c r="C41" s="313" t="s">
        <v>251</v>
      </c>
      <c r="D41" s="314">
        <v>85</v>
      </c>
      <c r="E41" s="315">
        <v>2.09</v>
      </c>
      <c r="F41" s="316">
        <f>$H$1</f>
        <v>0.20169999999999999</v>
      </c>
      <c r="G41" s="315">
        <f t="shared" ref="G41:G42" si="28">E41*(1+F41)</f>
        <v>2.5115529999999997</v>
      </c>
      <c r="H41" s="315">
        <f t="shared" ref="H41:H42" si="29">G41*D41</f>
        <v>213.48200499999999</v>
      </c>
      <c r="I41" s="356" t="s">
        <v>263</v>
      </c>
      <c r="J41" s="356" t="s">
        <v>426</v>
      </c>
      <c r="K41" s="359">
        <f>$H41/$H$48</f>
        <v>1.1547146919224731E-3</v>
      </c>
      <c r="L41" s="444"/>
      <c r="M41" s="445"/>
      <c r="N41" s="445"/>
      <c r="O41" s="446"/>
      <c r="P41" s="341"/>
      <c r="R41" s="353">
        <f t="shared" ref="R41:S42" si="30">D41</f>
        <v>85</v>
      </c>
      <c r="S41" s="353">
        <f t="shared" si="30"/>
        <v>2.09</v>
      </c>
      <c r="T41" s="353">
        <f t="shared" si="5"/>
        <v>177.64999999999998</v>
      </c>
    </row>
    <row r="42" spans="1:20" s="281" customFormat="1" ht="28.15" customHeight="1" x14ac:dyDescent="0.2">
      <c r="A42" s="318" t="s">
        <v>361</v>
      </c>
      <c r="B42" s="325" t="s">
        <v>264</v>
      </c>
      <c r="C42" s="319" t="s">
        <v>252</v>
      </c>
      <c r="D42" s="320">
        <v>1</v>
      </c>
      <c r="E42" s="322">
        <v>1271.01</v>
      </c>
      <c r="F42" s="321">
        <f>$H$1</f>
        <v>0.20169999999999999</v>
      </c>
      <c r="G42" s="322">
        <f t="shared" si="28"/>
        <v>1527.372717</v>
      </c>
      <c r="H42" s="322">
        <f t="shared" si="29"/>
        <v>1527.372717</v>
      </c>
      <c r="I42" s="324" t="s">
        <v>354</v>
      </c>
      <c r="J42" s="324" t="s">
        <v>296</v>
      </c>
      <c r="K42" s="371">
        <f>$H42/$H$48</f>
        <v>8.2614912501006617E-3</v>
      </c>
      <c r="L42" s="444"/>
      <c r="M42" s="445"/>
      <c r="N42" s="445"/>
      <c r="O42" s="446"/>
      <c r="P42" s="341"/>
      <c r="R42" s="353">
        <f t="shared" si="30"/>
        <v>1</v>
      </c>
      <c r="S42" s="353">
        <f t="shared" si="30"/>
        <v>1271.01</v>
      </c>
      <c r="T42" s="353">
        <f t="shared" si="5"/>
        <v>1271.01</v>
      </c>
    </row>
    <row r="43" spans="1:20" ht="19.899999999999999" customHeight="1" thickBot="1" x14ac:dyDescent="0.3">
      <c r="A43" s="450" t="s">
        <v>260</v>
      </c>
      <c r="B43" s="451"/>
      <c r="C43" s="451"/>
      <c r="D43" s="451"/>
      <c r="E43" s="451"/>
      <c r="F43" s="451"/>
      <c r="G43" s="451"/>
      <c r="H43" s="326">
        <f>SUM(H41:H42)</f>
        <v>1740.854722</v>
      </c>
      <c r="I43" s="452"/>
      <c r="J43" s="453"/>
      <c r="K43" s="370">
        <f>H43/$H$48</f>
        <v>9.4162059420231353E-3</v>
      </c>
      <c r="L43" s="444"/>
      <c r="M43" s="445"/>
      <c r="N43" s="445"/>
      <c r="O43" s="446"/>
      <c r="P43" s="341"/>
      <c r="R43" s="353"/>
      <c r="S43" s="353"/>
      <c r="T43" s="353"/>
    </row>
    <row r="44" spans="1:20" s="285" customFormat="1" ht="19.899999999999999" customHeight="1" thickBot="1" x14ac:dyDescent="0.25">
      <c r="A44" s="328" t="s">
        <v>422</v>
      </c>
      <c r="B44" s="476" t="s">
        <v>424</v>
      </c>
      <c r="C44" s="476"/>
      <c r="D44" s="476"/>
      <c r="E44" s="476"/>
      <c r="F44" s="476"/>
      <c r="G44" s="476"/>
      <c r="H44" s="476"/>
      <c r="I44" s="476"/>
      <c r="J44" s="476"/>
      <c r="K44" s="477"/>
      <c r="L44" s="444"/>
      <c r="M44" s="445"/>
      <c r="N44" s="445"/>
      <c r="O44" s="446"/>
      <c r="P44" s="341"/>
      <c r="Q44" s="281"/>
      <c r="R44" s="353"/>
      <c r="S44" s="353"/>
      <c r="T44" s="353"/>
    </row>
    <row r="45" spans="1:20" s="281" customFormat="1" ht="28.15" customHeight="1" x14ac:dyDescent="0.2">
      <c r="A45" s="311" t="s">
        <v>423</v>
      </c>
      <c r="B45" s="333" t="s">
        <v>425</v>
      </c>
      <c r="C45" s="313" t="s">
        <v>254</v>
      </c>
      <c r="D45" s="314">
        <v>1.98</v>
      </c>
      <c r="E45" s="315">
        <f>H43+H39+H24+H14+H10</f>
        <v>182001.79127010022</v>
      </c>
      <c r="F45" s="316">
        <f>$H$1</f>
        <v>0.20169999999999999</v>
      </c>
      <c r="G45" s="315">
        <f>E45*(1-F45)</f>
        <v>145292.02997092099</v>
      </c>
      <c r="H45" s="315">
        <f>G45*(D45/100)</f>
        <v>2876.7821934242356</v>
      </c>
      <c r="I45" s="356" t="s">
        <v>263</v>
      </c>
      <c r="J45" s="356" t="s">
        <v>417</v>
      </c>
      <c r="K45" s="359">
        <f>$H45/$H$48</f>
        <v>1.5560387228927903E-2</v>
      </c>
      <c r="L45" s="444"/>
      <c r="M45" s="445"/>
      <c r="N45" s="445"/>
      <c r="O45" s="446"/>
      <c r="P45" s="341"/>
      <c r="R45" s="353">
        <f t="shared" ref="R45" si="31">D45</f>
        <v>1.98</v>
      </c>
      <c r="S45" s="353">
        <f t="shared" ref="S45" si="32">E45</f>
        <v>182001.79127010022</v>
      </c>
      <c r="T45" s="353">
        <f t="shared" ref="T45" si="33">R45*S45</f>
        <v>360363.54671479843</v>
      </c>
    </row>
    <row r="46" spans="1:20" ht="19.899999999999999" customHeight="1" thickBot="1" x14ac:dyDescent="0.3">
      <c r="A46" s="450" t="s">
        <v>260</v>
      </c>
      <c r="B46" s="451"/>
      <c r="C46" s="451"/>
      <c r="D46" s="451"/>
      <c r="E46" s="451"/>
      <c r="F46" s="451"/>
      <c r="G46" s="451"/>
      <c r="H46" s="326">
        <f>SUM(H45:H45)</f>
        <v>2876.7821934242356</v>
      </c>
      <c r="I46" s="452"/>
      <c r="J46" s="453"/>
      <c r="K46" s="370">
        <f>H46/$H$48</f>
        <v>1.5560387228927903E-2</v>
      </c>
      <c r="L46" s="444"/>
      <c r="M46" s="445"/>
      <c r="N46" s="445"/>
      <c r="O46" s="446"/>
      <c r="P46" s="341"/>
      <c r="R46" s="353"/>
      <c r="S46" s="353"/>
      <c r="T46" s="353"/>
    </row>
    <row r="47" spans="1:20" ht="15" customHeight="1" thickBot="1" x14ac:dyDescent="0.3">
      <c r="A47" s="459"/>
      <c r="B47" s="460"/>
      <c r="C47" s="460"/>
      <c r="D47" s="460"/>
      <c r="E47" s="460"/>
      <c r="F47" s="460"/>
      <c r="G47" s="460"/>
      <c r="H47" s="460"/>
      <c r="I47" s="460"/>
      <c r="J47" s="460"/>
      <c r="K47" s="461"/>
      <c r="L47" s="444"/>
      <c r="M47" s="445"/>
      <c r="N47" s="445"/>
      <c r="O47" s="446"/>
      <c r="P47" s="341"/>
      <c r="T47" s="372">
        <f>SUM(T4:T43)</f>
        <v>120611.17687899999</v>
      </c>
    </row>
    <row r="48" spans="1:20" ht="19.899999999999999" customHeight="1" thickBot="1" x14ac:dyDescent="0.3">
      <c r="A48" s="457" t="s">
        <v>44</v>
      </c>
      <c r="B48" s="458"/>
      <c r="C48" s="458"/>
      <c r="D48" s="458"/>
      <c r="E48" s="458"/>
      <c r="F48" s="458"/>
      <c r="G48" s="458"/>
      <c r="H48" s="329">
        <f>H10+H14+H24+H39+H43+H46</f>
        <v>184878.57346352449</v>
      </c>
      <c r="I48" s="330"/>
      <c r="J48" s="369"/>
      <c r="K48" s="373">
        <f>H48/$H$48</f>
        <v>1</v>
      </c>
      <c r="L48" s="444"/>
      <c r="M48" s="445"/>
      <c r="N48" s="445"/>
      <c r="O48" s="446"/>
      <c r="P48" s="341"/>
      <c r="T48" s="353" t="s">
        <v>301</v>
      </c>
    </row>
    <row r="49" spans="1:20" x14ac:dyDescent="0.25">
      <c r="A49" s="454"/>
      <c r="B49" s="455"/>
      <c r="C49" s="455"/>
      <c r="D49" s="455"/>
      <c r="E49" s="455"/>
      <c r="F49" s="455"/>
      <c r="G49" s="455"/>
      <c r="H49" s="455"/>
      <c r="I49" s="455"/>
      <c r="J49" s="455"/>
      <c r="K49" s="456"/>
      <c r="L49" s="444"/>
      <c r="M49" s="445"/>
      <c r="N49" s="445"/>
      <c r="O49" s="446"/>
      <c r="P49" s="341"/>
    </row>
    <row r="50" spans="1:20" x14ac:dyDescent="0.25">
      <c r="A50" s="462"/>
      <c r="B50" s="463"/>
      <c r="C50" s="463"/>
      <c r="D50" s="463"/>
      <c r="E50" s="463"/>
      <c r="F50" s="463"/>
      <c r="G50" s="463"/>
      <c r="H50" s="463"/>
      <c r="I50" s="463"/>
      <c r="J50" s="463"/>
      <c r="K50" s="464"/>
      <c r="L50" s="444"/>
      <c r="M50" s="445"/>
      <c r="N50" s="445"/>
      <c r="O50" s="446"/>
    </row>
    <row r="51" spans="1:20" x14ac:dyDescent="0.25">
      <c r="A51" s="462"/>
      <c r="B51" s="463"/>
      <c r="C51" s="463"/>
      <c r="D51" s="463"/>
      <c r="E51" s="463"/>
      <c r="F51" s="463"/>
      <c r="G51" s="463"/>
      <c r="H51" s="463"/>
      <c r="I51" s="463"/>
      <c r="J51" s="463"/>
      <c r="K51" s="464"/>
      <c r="L51" s="444"/>
      <c r="M51" s="445"/>
      <c r="N51" s="445"/>
      <c r="O51" s="446"/>
      <c r="T51" s="280"/>
    </row>
    <row r="52" spans="1:20" x14ac:dyDescent="0.25">
      <c r="A52" s="462"/>
      <c r="B52" s="463"/>
      <c r="C52" s="463"/>
      <c r="D52" s="463"/>
      <c r="E52" s="463"/>
      <c r="F52" s="463"/>
      <c r="G52" s="463"/>
      <c r="H52" s="463"/>
      <c r="I52" s="463"/>
      <c r="J52" s="463"/>
      <c r="K52" s="464"/>
      <c r="L52" s="444"/>
      <c r="M52" s="445"/>
      <c r="N52" s="445"/>
      <c r="O52" s="446"/>
    </row>
    <row r="53" spans="1:20" x14ac:dyDescent="0.25">
      <c r="A53" s="462"/>
      <c r="B53" s="463"/>
      <c r="C53" s="463"/>
      <c r="D53" s="463"/>
      <c r="E53" s="463"/>
      <c r="F53" s="463"/>
      <c r="G53" s="463"/>
      <c r="H53" s="463"/>
      <c r="I53" s="463"/>
      <c r="J53" s="463"/>
      <c r="K53" s="464"/>
      <c r="L53" s="444"/>
      <c r="M53" s="445"/>
      <c r="N53" s="445"/>
      <c r="O53" s="446"/>
    </row>
    <row r="54" spans="1:20" x14ac:dyDescent="0.25">
      <c r="A54" s="462" t="s">
        <v>351</v>
      </c>
      <c r="B54" s="463"/>
      <c r="C54" s="463"/>
      <c r="D54" s="463"/>
      <c r="E54" s="463"/>
      <c r="F54" s="463"/>
      <c r="G54" s="463"/>
      <c r="H54" s="463"/>
      <c r="I54" s="463"/>
      <c r="J54" s="463"/>
      <c r="K54" s="464"/>
      <c r="L54" s="444"/>
      <c r="M54" s="445"/>
      <c r="N54" s="445"/>
      <c r="O54" s="446"/>
    </row>
    <row r="55" spans="1:20" x14ac:dyDescent="0.25">
      <c r="A55" s="483" t="s">
        <v>356</v>
      </c>
      <c r="B55" s="484"/>
      <c r="C55" s="484"/>
      <c r="D55" s="484"/>
      <c r="E55" s="484"/>
      <c r="F55" s="484"/>
      <c r="G55" s="484"/>
      <c r="H55" s="484"/>
      <c r="I55" s="484"/>
      <c r="J55" s="484"/>
      <c r="K55" s="485"/>
      <c r="L55" s="444"/>
      <c r="M55" s="445"/>
      <c r="N55" s="445"/>
      <c r="O55" s="446"/>
    </row>
    <row r="56" spans="1:20" x14ac:dyDescent="0.25">
      <c r="A56" s="483" t="s">
        <v>357</v>
      </c>
      <c r="B56" s="484"/>
      <c r="C56" s="484"/>
      <c r="D56" s="484"/>
      <c r="E56" s="484"/>
      <c r="F56" s="484"/>
      <c r="G56" s="484"/>
      <c r="H56" s="484"/>
      <c r="I56" s="484"/>
      <c r="J56" s="484"/>
      <c r="K56" s="485"/>
      <c r="L56" s="444"/>
      <c r="M56" s="445"/>
      <c r="N56" s="445"/>
      <c r="O56" s="446"/>
    </row>
    <row r="57" spans="1:20" ht="15.75" thickBot="1" x14ac:dyDescent="0.3">
      <c r="A57" s="447"/>
      <c r="B57" s="448"/>
      <c r="C57" s="448"/>
      <c r="D57" s="448"/>
      <c r="E57" s="448"/>
      <c r="F57" s="448"/>
      <c r="G57" s="448"/>
      <c r="H57" s="448"/>
      <c r="I57" s="448"/>
      <c r="J57" s="448"/>
      <c r="K57" s="449"/>
      <c r="L57" s="444"/>
      <c r="M57" s="445"/>
      <c r="N57" s="445"/>
      <c r="O57" s="446"/>
    </row>
  </sheetData>
  <autoFilter ref="A2:K2"/>
  <mergeCells count="87">
    <mergeCell ref="B44:K44"/>
    <mergeCell ref="L44:O44"/>
    <mergeCell ref="L45:O45"/>
    <mergeCell ref="A46:G46"/>
    <mergeCell ref="I46:J46"/>
    <mergeCell ref="L46:O46"/>
    <mergeCell ref="L22:O22"/>
    <mergeCell ref="L17:O17"/>
    <mergeCell ref="A54:K54"/>
    <mergeCell ref="A55:K55"/>
    <mergeCell ref="A56:K56"/>
    <mergeCell ref="L23:O23"/>
    <mergeCell ref="L24:O24"/>
    <mergeCell ref="L40:O40"/>
    <mergeCell ref="L41:O41"/>
    <mergeCell ref="L42:O42"/>
    <mergeCell ref="L43:O43"/>
    <mergeCell ref="L18:O18"/>
    <mergeCell ref="L19:O19"/>
    <mergeCell ref="L20:O20"/>
    <mergeCell ref="I39:J39"/>
    <mergeCell ref="L39:O39"/>
    <mergeCell ref="L1:O1"/>
    <mergeCell ref="L4:O4"/>
    <mergeCell ref="L3:O3"/>
    <mergeCell ref="L5:O5"/>
    <mergeCell ref="L6:O6"/>
    <mergeCell ref="L2:O2"/>
    <mergeCell ref="L7:O7"/>
    <mergeCell ref="L9:O9"/>
    <mergeCell ref="L10:O10"/>
    <mergeCell ref="L8:O8"/>
    <mergeCell ref="L15:O15"/>
    <mergeCell ref="L11:O11"/>
    <mergeCell ref="L16:O16"/>
    <mergeCell ref="L21:O21"/>
    <mergeCell ref="I1:J1"/>
    <mergeCell ref="I43:J43"/>
    <mergeCell ref="I24:J24"/>
    <mergeCell ref="I10:J10"/>
    <mergeCell ref="B3:K3"/>
    <mergeCell ref="A10:G10"/>
    <mergeCell ref="B15:K15"/>
    <mergeCell ref="A24:G24"/>
    <mergeCell ref="B11:K11"/>
    <mergeCell ref="B40:K40"/>
    <mergeCell ref="A43:G43"/>
    <mergeCell ref="B25:K25"/>
    <mergeCell ref="L25:O25"/>
    <mergeCell ref="A39:G39"/>
    <mergeCell ref="A57:K57"/>
    <mergeCell ref="A14:G14"/>
    <mergeCell ref="I14:J14"/>
    <mergeCell ref="L14:O14"/>
    <mergeCell ref="L12:O12"/>
    <mergeCell ref="L13:O13"/>
    <mergeCell ref="L47:O47"/>
    <mergeCell ref="L48:O48"/>
    <mergeCell ref="L49:O49"/>
    <mergeCell ref="A49:K49"/>
    <mergeCell ref="A48:G48"/>
    <mergeCell ref="A47:K47"/>
    <mergeCell ref="A50:K50"/>
    <mergeCell ref="A51:K51"/>
    <mergeCell ref="A52:K52"/>
    <mergeCell ref="A53:K53"/>
    <mergeCell ref="L26:O26"/>
    <mergeCell ref="L27:O27"/>
    <mergeCell ref="L28:O28"/>
    <mergeCell ref="L29:O29"/>
    <mergeCell ref="L30:O30"/>
    <mergeCell ref="L38:O38"/>
    <mergeCell ref="L34:O34"/>
    <mergeCell ref="L31:O31"/>
    <mergeCell ref="L55:O55"/>
    <mergeCell ref="L56:O56"/>
    <mergeCell ref="L32:O32"/>
    <mergeCell ref="L33:O33"/>
    <mergeCell ref="L35:O35"/>
    <mergeCell ref="L36:O36"/>
    <mergeCell ref="L37:O37"/>
    <mergeCell ref="L57:O57"/>
    <mergeCell ref="L50:O50"/>
    <mergeCell ref="L51:O51"/>
    <mergeCell ref="L52:O52"/>
    <mergeCell ref="L53:O53"/>
    <mergeCell ref="L54:O54"/>
  </mergeCells>
  <phoneticPr fontId="16" type="noConversion"/>
  <pageMargins left="0.7" right="0.7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zoomScale="80" zoomScaleNormal="80" workbookViewId="0">
      <selection activeCell="O39" sqref="O39"/>
    </sheetView>
  </sheetViews>
  <sheetFormatPr defaultColWidth="10.7109375" defaultRowHeight="14.25" x14ac:dyDescent="0.2"/>
  <cols>
    <col min="1" max="1" width="6.5703125" style="279" customWidth="1"/>
    <col min="2" max="2" width="21.7109375" style="279" customWidth="1"/>
    <col min="3" max="3" width="8.42578125" style="279" customWidth="1"/>
    <col min="4" max="4" width="14.28515625" style="279" customWidth="1"/>
    <col min="5" max="5" width="15" style="279" bestFit="1" customWidth="1"/>
    <col min="6" max="6" width="15.28515625" style="279" bestFit="1" customWidth="1"/>
    <col min="7" max="7" width="13.7109375" style="279" customWidth="1"/>
    <col min="8" max="8" width="15.5703125" style="279" customWidth="1"/>
    <col min="9" max="9" width="13.7109375" style="279" customWidth="1"/>
    <col min="10" max="10" width="15.7109375" style="279" customWidth="1"/>
    <col min="11" max="11" width="13.7109375" style="279" customWidth="1"/>
    <col min="12" max="12" width="15" style="279" customWidth="1"/>
    <col min="13" max="14" width="13.7109375" style="279" customWidth="1"/>
    <col min="15" max="15" width="15.7109375" style="279" customWidth="1"/>
    <col min="16" max="16384" width="10.7109375" style="279"/>
  </cols>
  <sheetData>
    <row r="1" spans="1:15" ht="30" customHeight="1" x14ac:dyDescent="0.2">
      <c r="A1" s="512"/>
      <c r="B1" s="513"/>
      <c r="C1" s="513"/>
      <c r="D1" s="506" t="s">
        <v>266</v>
      </c>
      <c r="E1" s="507"/>
      <c r="F1" s="507"/>
      <c r="G1" s="507"/>
      <c r="H1" s="507"/>
      <c r="I1" s="507"/>
      <c r="J1" s="507"/>
      <c r="K1" s="508"/>
      <c r="L1" s="331"/>
      <c r="M1" s="331"/>
      <c r="N1" s="331"/>
      <c r="O1" s="438" t="s">
        <v>267</v>
      </c>
    </row>
    <row r="2" spans="1:15" ht="30" customHeight="1" x14ac:dyDescent="0.2">
      <c r="A2" s="514"/>
      <c r="B2" s="515"/>
      <c r="C2" s="515"/>
      <c r="D2" s="509" t="s">
        <v>355</v>
      </c>
      <c r="E2" s="510"/>
      <c r="F2" s="510"/>
      <c r="G2" s="510"/>
      <c r="H2" s="510"/>
      <c r="I2" s="510"/>
      <c r="J2" s="510"/>
      <c r="K2" s="511"/>
      <c r="L2" s="332"/>
      <c r="M2" s="332"/>
      <c r="N2" s="332"/>
      <c r="O2" s="439" t="s">
        <v>350</v>
      </c>
    </row>
    <row r="3" spans="1:15" ht="30" customHeight="1" x14ac:dyDescent="0.2">
      <c r="A3" s="516"/>
      <c r="B3" s="517"/>
      <c r="C3" s="517"/>
      <c r="D3" s="509"/>
      <c r="E3" s="510"/>
      <c r="F3" s="510"/>
      <c r="G3" s="510"/>
      <c r="H3" s="510"/>
      <c r="I3" s="510"/>
      <c r="J3" s="510"/>
      <c r="K3" s="511"/>
      <c r="L3" s="332"/>
      <c r="M3" s="332"/>
      <c r="N3" s="332"/>
      <c r="O3" s="439" t="s">
        <v>307</v>
      </c>
    </row>
    <row r="4" spans="1:15" x14ac:dyDescent="0.2">
      <c r="A4" s="518"/>
      <c r="B4" s="519"/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20"/>
    </row>
    <row r="5" spans="1:15" ht="25.5" x14ac:dyDescent="0.2">
      <c r="A5" s="301" t="s">
        <v>268</v>
      </c>
      <c r="B5" s="521" t="s">
        <v>269</v>
      </c>
      <c r="C5" s="522"/>
      <c r="D5" s="302" t="s">
        <v>270</v>
      </c>
      <c r="E5" s="302" t="s">
        <v>271</v>
      </c>
      <c r="F5" s="303" t="s">
        <v>272</v>
      </c>
      <c r="G5" s="303"/>
      <c r="H5" s="303"/>
      <c r="I5" s="303"/>
      <c r="J5" s="303"/>
      <c r="K5" s="303"/>
      <c r="L5" s="303"/>
      <c r="M5" s="303"/>
      <c r="N5" s="303"/>
      <c r="O5" s="304" t="s">
        <v>273</v>
      </c>
    </row>
    <row r="6" spans="1:15" x14ac:dyDescent="0.2">
      <c r="A6" s="500" t="s">
        <v>250</v>
      </c>
      <c r="B6" s="502" t="s">
        <v>282</v>
      </c>
      <c r="C6" s="503"/>
      <c r="D6" s="287" t="s">
        <v>274</v>
      </c>
      <c r="E6" s="288">
        <f>'PLANILHA DE CUSTOS OBRA'!H10/'PLANILHA DE CUSTOS OBRA'!H48</f>
        <v>4.1898420285660987E-2</v>
      </c>
      <c r="F6" s="289">
        <v>1</v>
      </c>
      <c r="G6" s="289"/>
      <c r="H6" s="289"/>
      <c r="I6" s="289"/>
      <c r="J6" s="292"/>
      <c r="K6" s="292"/>
      <c r="L6" s="292"/>
      <c r="M6" s="292"/>
      <c r="N6" s="292"/>
      <c r="O6" s="290">
        <f t="shared" ref="O6:O8" si="0">SUM(F6:I6)</f>
        <v>1</v>
      </c>
    </row>
    <row r="7" spans="1:15" x14ac:dyDescent="0.2">
      <c r="A7" s="501"/>
      <c r="B7" s="504"/>
      <c r="C7" s="505"/>
      <c r="D7" s="294" t="s">
        <v>275</v>
      </c>
      <c r="E7" s="295">
        <f>'PLANILHA DE CUSTOS OBRA'!H10</f>
        <v>7746.1201727881999</v>
      </c>
      <c r="F7" s="296">
        <f>F6*$E7</f>
        <v>7746.1201727881999</v>
      </c>
      <c r="G7" s="296"/>
      <c r="H7" s="297"/>
      <c r="I7" s="297"/>
      <c r="J7" s="298"/>
      <c r="K7" s="298"/>
      <c r="L7" s="298"/>
      <c r="M7" s="298"/>
      <c r="N7" s="298"/>
      <c r="O7" s="299">
        <f>SUM(F7:N7)</f>
        <v>7746.1201727881999</v>
      </c>
    </row>
    <row r="8" spans="1:15" x14ac:dyDescent="0.2">
      <c r="A8" s="500" t="s">
        <v>255</v>
      </c>
      <c r="B8" s="502" t="s">
        <v>306</v>
      </c>
      <c r="C8" s="503"/>
      <c r="D8" s="287" t="s">
        <v>274</v>
      </c>
      <c r="E8" s="291">
        <f>'PLANILHA DE CUSTOS OBRA'!K14</f>
        <v>1.683550231035336E-2</v>
      </c>
      <c r="F8" s="289">
        <v>1</v>
      </c>
      <c r="G8" s="289"/>
      <c r="H8" s="289"/>
      <c r="I8" s="289"/>
      <c r="J8" s="292"/>
      <c r="K8" s="292"/>
      <c r="L8" s="292"/>
      <c r="M8" s="292"/>
      <c r="N8" s="292"/>
      <c r="O8" s="290">
        <f t="shared" si="0"/>
        <v>1</v>
      </c>
    </row>
    <row r="9" spans="1:15" x14ac:dyDescent="0.2">
      <c r="A9" s="501"/>
      <c r="B9" s="504"/>
      <c r="C9" s="505"/>
      <c r="D9" s="294" t="s">
        <v>275</v>
      </c>
      <c r="E9" s="295">
        <f>'PLANILHA DE CUSTOS OBRA'!H14</f>
        <v>3112.5236506800002</v>
      </c>
      <c r="F9" s="296">
        <f>F8*$E9</f>
        <v>3112.5236506800002</v>
      </c>
      <c r="G9" s="296"/>
      <c r="H9" s="296"/>
      <c r="I9" s="297"/>
      <c r="J9" s="298"/>
      <c r="K9" s="298"/>
      <c r="L9" s="298"/>
      <c r="M9" s="298"/>
      <c r="N9" s="298"/>
      <c r="O9" s="299">
        <f>SUM(F9:N9)</f>
        <v>3112.5236506800002</v>
      </c>
    </row>
    <row r="10" spans="1:15" x14ac:dyDescent="0.2">
      <c r="A10" s="500" t="s">
        <v>259</v>
      </c>
      <c r="B10" s="502" t="s">
        <v>311</v>
      </c>
      <c r="C10" s="503"/>
      <c r="D10" s="287" t="s">
        <v>274</v>
      </c>
      <c r="E10" s="291">
        <f>'PLANILHA DE CUSTOS OBRA'!K24</f>
        <v>2.7241558929531381E-2</v>
      </c>
      <c r="F10" s="289">
        <v>1</v>
      </c>
      <c r="G10" s="289"/>
      <c r="H10" s="289"/>
      <c r="I10" s="289"/>
      <c r="J10" s="292"/>
      <c r="K10" s="292"/>
      <c r="L10" s="292"/>
      <c r="M10" s="292"/>
      <c r="N10" s="292"/>
      <c r="O10" s="290">
        <f t="shared" ref="O10:O12" si="1">SUM(F10:K10)</f>
        <v>1</v>
      </c>
    </row>
    <row r="11" spans="1:15" x14ac:dyDescent="0.2">
      <c r="A11" s="501"/>
      <c r="B11" s="504"/>
      <c r="C11" s="505"/>
      <c r="D11" s="294" t="s">
        <v>275</v>
      </c>
      <c r="E11" s="295">
        <f>'PLANILHA DE CUSTOS OBRA'!H24</f>
        <v>5036.3805538142988</v>
      </c>
      <c r="F11" s="296">
        <f>F10*$E11</f>
        <v>5036.3805538142988</v>
      </c>
      <c r="G11" s="296"/>
      <c r="H11" s="296"/>
      <c r="I11" s="296"/>
      <c r="J11" s="296"/>
      <c r="K11" s="296"/>
      <c r="L11" s="300"/>
      <c r="M11" s="300"/>
      <c r="N11" s="300"/>
      <c r="O11" s="299">
        <f>SUM(F11:N11)</f>
        <v>5036.3805538142988</v>
      </c>
    </row>
    <row r="12" spans="1:15" x14ac:dyDescent="0.2">
      <c r="A12" s="500" t="s">
        <v>261</v>
      </c>
      <c r="B12" s="502" t="s">
        <v>358</v>
      </c>
      <c r="C12" s="503"/>
      <c r="D12" s="287" t="s">
        <v>274</v>
      </c>
      <c r="E12" s="291">
        <f>'PLANILHA DE CUSTOS OBRA'!K39</f>
        <v>0.88904792530350329</v>
      </c>
      <c r="F12" s="289">
        <v>1</v>
      </c>
      <c r="G12" s="289"/>
      <c r="H12" s="289"/>
      <c r="I12" s="289"/>
      <c r="J12" s="292"/>
      <c r="K12" s="292"/>
      <c r="L12" s="292"/>
      <c r="M12" s="292"/>
      <c r="N12" s="292"/>
      <c r="O12" s="290">
        <f t="shared" si="1"/>
        <v>1</v>
      </c>
    </row>
    <row r="13" spans="1:15" x14ac:dyDescent="0.2">
      <c r="A13" s="501"/>
      <c r="B13" s="504"/>
      <c r="C13" s="505"/>
      <c r="D13" s="294" t="s">
        <v>275</v>
      </c>
      <c r="E13" s="295">
        <f>'PLANILHA DE CUSTOS OBRA'!H39</f>
        <v>164365.91217081776</v>
      </c>
      <c r="F13" s="296">
        <f>F12*$E13</f>
        <v>164365.91217081776</v>
      </c>
      <c r="G13" s="296"/>
      <c r="H13" s="296"/>
      <c r="I13" s="296"/>
      <c r="J13" s="296"/>
      <c r="K13" s="296"/>
      <c r="L13" s="300"/>
      <c r="M13" s="300"/>
      <c r="N13" s="300"/>
      <c r="O13" s="299">
        <f>SUM(F13:N13)</f>
        <v>164365.91217081776</v>
      </c>
    </row>
    <row r="14" spans="1:15" x14ac:dyDescent="0.2">
      <c r="A14" s="500" t="s">
        <v>359</v>
      </c>
      <c r="B14" s="502" t="s">
        <v>265</v>
      </c>
      <c r="C14" s="503"/>
      <c r="D14" s="287" t="s">
        <v>274</v>
      </c>
      <c r="E14" s="291">
        <f>'PLANILHA DE CUSTOS OBRA'!K48</f>
        <v>1</v>
      </c>
      <c r="F14" s="289">
        <v>1</v>
      </c>
      <c r="G14" s="289"/>
      <c r="H14" s="289"/>
      <c r="I14" s="289"/>
      <c r="J14" s="292"/>
      <c r="K14" s="292"/>
      <c r="L14" s="292"/>
      <c r="M14" s="292"/>
      <c r="N14" s="292"/>
      <c r="O14" s="290">
        <f t="shared" ref="O14:O16" si="2">SUM(F14:K14)</f>
        <v>1</v>
      </c>
    </row>
    <row r="15" spans="1:15" x14ac:dyDescent="0.2">
      <c r="A15" s="501"/>
      <c r="B15" s="504"/>
      <c r="C15" s="505"/>
      <c r="D15" s="294" t="s">
        <v>275</v>
      </c>
      <c r="E15" s="295">
        <f>'PLANILHA DE CUSTOS OBRA'!H43</f>
        <v>1740.854722</v>
      </c>
      <c r="F15" s="296">
        <f>F14*$E15</f>
        <v>1740.854722</v>
      </c>
      <c r="G15" s="296"/>
      <c r="H15" s="296"/>
      <c r="I15" s="296"/>
      <c r="J15" s="296"/>
      <c r="K15" s="296"/>
      <c r="L15" s="300"/>
      <c r="M15" s="300"/>
      <c r="N15" s="300"/>
      <c r="O15" s="299">
        <f>SUM(F15:N15)</f>
        <v>1740.854722</v>
      </c>
    </row>
    <row r="16" spans="1:15" x14ac:dyDescent="0.2">
      <c r="A16" s="500" t="s">
        <v>422</v>
      </c>
      <c r="B16" s="502" t="s">
        <v>424</v>
      </c>
      <c r="C16" s="503"/>
      <c r="D16" s="287" t="s">
        <v>274</v>
      </c>
      <c r="E16" s="291">
        <f>'PLANILHA DE CUSTOS OBRA'!K46</f>
        <v>1.5560387228927903E-2</v>
      </c>
      <c r="F16" s="289">
        <v>1</v>
      </c>
      <c r="G16" s="289"/>
      <c r="H16" s="289"/>
      <c r="I16" s="292"/>
      <c r="J16" s="292"/>
      <c r="K16" s="292"/>
      <c r="L16" s="292"/>
      <c r="M16" s="292"/>
      <c r="N16" s="292"/>
      <c r="O16" s="290">
        <f t="shared" si="2"/>
        <v>1</v>
      </c>
    </row>
    <row r="17" spans="1:15" x14ac:dyDescent="0.2">
      <c r="A17" s="501"/>
      <c r="B17" s="504"/>
      <c r="C17" s="505"/>
      <c r="D17" s="294" t="s">
        <v>275</v>
      </c>
      <c r="E17" s="295">
        <f>'PLANILHA DE CUSTOS OBRA'!H46</f>
        <v>2876.7821934242356</v>
      </c>
      <c r="F17" s="443">
        <f>F16*$E17</f>
        <v>2876.7821934242356</v>
      </c>
      <c r="G17" s="297"/>
      <c r="H17" s="296"/>
      <c r="I17" s="296"/>
      <c r="J17" s="296"/>
      <c r="K17" s="296"/>
      <c r="L17" s="296"/>
      <c r="M17" s="298"/>
      <c r="N17" s="298"/>
      <c r="O17" s="299">
        <f>SUM(F17:N17)</f>
        <v>2876.7821934242356</v>
      </c>
    </row>
    <row r="18" spans="1:15" x14ac:dyDescent="0.2">
      <c r="A18" s="500"/>
      <c r="B18" s="502"/>
      <c r="C18" s="503"/>
      <c r="D18" s="287"/>
      <c r="E18" s="291"/>
      <c r="F18" s="289"/>
      <c r="G18" s="289"/>
      <c r="H18" s="289"/>
      <c r="I18" s="289"/>
      <c r="J18" s="289"/>
      <c r="K18" s="292"/>
      <c r="L18" s="292"/>
      <c r="M18" s="292"/>
      <c r="N18" s="292"/>
      <c r="O18" s="290"/>
    </row>
    <row r="19" spans="1:15" x14ac:dyDescent="0.2">
      <c r="A19" s="501"/>
      <c r="B19" s="504"/>
      <c r="C19" s="505"/>
      <c r="D19" s="294"/>
      <c r="E19" s="295"/>
      <c r="F19" s="297"/>
      <c r="G19" s="297"/>
      <c r="H19" s="296"/>
      <c r="I19" s="296"/>
      <c r="J19" s="296"/>
      <c r="K19" s="296"/>
      <c r="L19" s="296"/>
      <c r="M19" s="298"/>
      <c r="N19" s="298"/>
      <c r="O19" s="299"/>
    </row>
    <row r="20" spans="1:15" x14ac:dyDescent="0.2">
      <c r="A20" s="500"/>
      <c r="B20" s="502"/>
      <c r="C20" s="503"/>
      <c r="D20" s="287"/>
      <c r="E20" s="291"/>
      <c r="F20" s="289"/>
      <c r="G20" s="289"/>
      <c r="H20" s="289"/>
      <c r="I20" s="289"/>
      <c r="J20" s="292"/>
      <c r="K20" s="292"/>
      <c r="L20" s="292"/>
      <c r="M20" s="292"/>
      <c r="N20" s="292"/>
      <c r="O20" s="290"/>
    </row>
    <row r="21" spans="1:15" x14ac:dyDescent="0.2">
      <c r="A21" s="501"/>
      <c r="B21" s="504"/>
      <c r="C21" s="505"/>
      <c r="D21" s="294"/>
      <c r="E21" s="295"/>
      <c r="F21" s="297"/>
      <c r="G21" s="297"/>
      <c r="H21" s="297"/>
      <c r="I21" s="296"/>
      <c r="J21" s="296"/>
      <c r="K21" s="296"/>
      <c r="L21" s="296"/>
      <c r="M21" s="296"/>
      <c r="N21" s="300"/>
      <c r="O21" s="299"/>
    </row>
    <row r="22" spans="1:15" x14ac:dyDescent="0.2">
      <c r="A22" s="500"/>
      <c r="B22" s="502"/>
      <c r="C22" s="503"/>
      <c r="D22" s="287"/>
      <c r="E22" s="291"/>
      <c r="F22" s="289"/>
      <c r="G22" s="289"/>
      <c r="H22" s="289"/>
      <c r="I22" s="289"/>
      <c r="J22" s="292"/>
      <c r="K22" s="292"/>
      <c r="L22" s="292"/>
      <c r="M22" s="292"/>
      <c r="N22" s="292"/>
      <c r="O22" s="290"/>
    </row>
    <row r="23" spans="1:15" x14ac:dyDescent="0.2">
      <c r="A23" s="501"/>
      <c r="B23" s="504"/>
      <c r="C23" s="505"/>
      <c r="D23" s="294"/>
      <c r="E23" s="295"/>
      <c r="F23" s="296"/>
      <c r="G23" s="296"/>
      <c r="H23" s="296"/>
      <c r="I23" s="296"/>
      <c r="J23" s="296"/>
      <c r="K23" s="296"/>
      <c r="L23" s="296"/>
      <c r="M23" s="296"/>
      <c r="N23" s="300"/>
      <c r="O23" s="299"/>
    </row>
    <row r="24" spans="1:15" x14ac:dyDescent="0.2">
      <c r="A24" s="500"/>
      <c r="B24" s="502"/>
      <c r="C24" s="503"/>
      <c r="D24" s="287"/>
      <c r="E24" s="291"/>
      <c r="F24" s="289"/>
      <c r="G24" s="289"/>
      <c r="H24" s="289"/>
      <c r="I24" s="289"/>
      <c r="J24" s="292"/>
      <c r="K24" s="292"/>
      <c r="L24" s="292"/>
      <c r="M24" s="292"/>
      <c r="N24" s="292"/>
      <c r="O24" s="290"/>
    </row>
    <row r="25" spans="1:15" x14ac:dyDescent="0.2">
      <c r="A25" s="501"/>
      <c r="B25" s="504"/>
      <c r="C25" s="505"/>
      <c r="D25" s="294"/>
      <c r="E25" s="295"/>
      <c r="F25" s="296"/>
      <c r="G25" s="296"/>
      <c r="H25" s="296"/>
      <c r="I25" s="296"/>
      <c r="J25" s="300"/>
      <c r="K25" s="296"/>
      <c r="L25" s="296"/>
      <c r="M25" s="296"/>
      <c r="N25" s="300"/>
      <c r="O25" s="299"/>
    </row>
    <row r="26" spans="1:15" x14ac:dyDescent="0.2">
      <c r="A26" s="500"/>
      <c r="B26" s="502"/>
      <c r="C26" s="503"/>
      <c r="D26" s="287"/>
      <c r="E26" s="291"/>
      <c r="F26" s="289"/>
      <c r="G26" s="289"/>
      <c r="H26" s="289"/>
      <c r="I26" s="289"/>
      <c r="J26" s="292"/>
      <c r="K26" s="292"/>
      <c r="L26" s="292"/>
      <c r="M26" s="292"/>
      <c r="N26" s="292"/>
      <c r="O26" s="290"/>
    </row>
    <row r="27" spans="1:15" x14ac:dyDescent="0.2">
      <c r="A27" s="501"/>
      <c r="B27" s="504"/>
      <c r="C27" s="505"/>
      <c r="D27" s="294"/>
      <c r="E27" s="295"/>
      <c r="F27" s="296"/>
      <c r="G27" s="296"/>
      <c r="H27" s="296"/>
      <c r="I27" s="296"/>
      <c r="J27" s="300"/>
      <c r="K27" s="296"/>
      <c r="L27" s="296"/>
      <c r="M27" s="296"/>
      <c r="N27" s="300"/>
      <c r="O27" s="299"/>
    </row>
    <row r="28" spans="1:15" x14ac:dyDescent="0.2">
      <c r="A28" s="500"/>
      <c r="B28" s="502"/>
      <c r="C28" s="503"/>
      <c r="D28" s="287"/>
      <c r="E28" s="291"/>
      <c r="F28" s="289"/>
      <c r="G28" s="289"/>
      <c r="H28" s="289"/>
      <c r="I28" s="289"/>
      <c r="J28" s="292"/>
      <c r="K28" s="292"/>
      <c r="L28" s="292"/>
      <c r="M28" s="292"/>
      <c r="N28" s="292"/>
      <c r="O28" s="290"/>
    </row>
    <row r="29" spans="1:15" x14ac:dyDescent="0.2">
      <c r="A29" s="501"/>
      <c r="B29" s="504"/>
      <c r="C29" s="505"/>
      <c r="D29" s="294"/>
      <c r="E29" s="295"/>
      <c r="F29" s="296"/>
      <c r="G29" s="296"/>
      <c r="H29" s="296"/>
      <c r="I29" s="296"/>
      <c r="J29" s="296"/>
      <c r="K29" s="296"/>
      <c r="L29" s="296"/>
      <c r="M29" s="296"/>
      <c r="N29" s="300"/>
      <c r="O29" s="299"/>
    </row>
    <row r="30" spans="1:15" x14ac:dyDescent="0.2">
      <c r="A30" s="500"/>
      <c r="B30" s="502"/>
      <c r="C30" s="503"/>
      <c r="D30" s="287"/>
      <c r="E30" s="291"/>
      <c r="F30" s="289"/>
      <c r="G30" s="289"/>
      <c r="H30" s="289"/>
      <c r="I30" s="289"/>
      <c r="J30" s="289"/>
      <c r="K30" s="289"/>
      <c r="L30" s="289"/>
      <c r="M30" s="292"/>
      <c r="N30" s="292"/>
      <c r="O30" s="290"/>
    </row>
    <row r="31" spans="1:15" x14ac:dyDescent="0.2">
      <c r="A31" s="501"/>
      <c r="B31" s="504"/>
      <c r="C31" s="505"/>
      <c r="D31" s="294"/>
      <c r="E31" s="295"/>
      <c r="F31" s="296"/>
      <c r="G31" s="296"/>
      <c r="H31" s="296"/>
      <c r="I31" s="296"/>
      <c r="J31" s="296"/>
      <c r="K31" s="296"/>
      <c r="L31" s="296"/>
      <c r="M31" s="296"/>
      <c r="N31" s="300"/>
      <c r="O31" s="299"/>
    </row>
    <row r="32" spans="1:15" x14ac:dyDescent="0.2">
      <c r="A32" s="500"/>
      <c r="B32" s="502"/>
      <c r="C32" s="503"/>
      <c r="D32" s="287"/>
      <c r="E32" s="291"/>
      <c r="F32" s="289"/>
      <c r="G32" s="289"/>
      <c r="H32" s="289"/>
      <c r="I32" s="289"/>
      <c r="J32" s="292"/>
      <c r="K32" s="292"/>
      <c r="L32" s="292"/>
      <c r="M32" s="292"/>
      <c r="N32" s="292"/>
      <c r="O32" s="290"/>
    </row>
    <row r="33" spans="1:15" x14ac:dyDescent="0.2">
      <c r="A33" s="501"/>
      <c r="B33" s="504"/>
      <c r="C33" s="505"/>
      <c r="D33" s="294"/>
      <c r="E33" s="295"/>
      <c r="F33" s="296"/>
      <c r="G33" s="296"/>
      <c r="H33" s="296"/>
      <c r="I33" s="296"/>
      <c r="J33" s="300"/>
      <c r="K33" s="300"/>
      <c r="L33" s="300"/>
      <c r="M33" s="296"/>
      <c r="N33" s="296"/>
      <c r="O33" s="299"/>
    </row>
    <row r="34" spans="1:15" x14ac:dyDescent="0.2">
      <c r="A34" s="500"/>
      <c r="B34" s="502"/>
      <c r="C34" s="503"/>
      <c r="D34" s="287"/>
      <c r="E34" s="291"/>
      <c r="F34" s="289"/>
      <c r="G34" s="289"/>
      <c r="H34" s="289"/>
      <c r="I34" s="289"/>
      <c r="J34" s="292"/>
      <c r="K34" s="292"/>
      <c r="L34" s="292"/>
      <c r="M34" s="292"/>
      <c r="N34" s="292"/>
      <c r="O34" s="290"/>
    </row>
    <row r="35" spans="1:15" x14ac:dyDescent="0.2">
      <c r="A35" s="501"/>
      <c r="B35" s="504"/>
      <c r="C35" s="505"/>
      <c r="D35" s="294"/>
      <c r="E35" s="295"/>
      <c r="F35" s="296"/>
      <c r="G35" s="296"/>
      <c r="H35" s="296"/>
      <c r="I35" s="296"/>
      <c r="J35" s="300"/>
      <c r="K35" s="300"/>
      <c r="L35" s="300"/>
      <c r="M35" s="300"/>
      <c r="N35" s="296"/>
      <c r="O35" s="299"/>
    </row>
    <row r="36" spans="1:15" x14ac:dyDescent="0.2">
      <c r="A36" s="500"/>
      <c r="B36" s="528"/>
      <c r="C36" s="528"/>
      <c r="D36" s="287"/>
      <c r="E36" s="291"/>
      <c r="F36" s="289"/>
      <c r="G36" s="289"/>
      <c r="H36" s="289"/>
      <c r="I36" s="289"/>
      <c r="J36" s="292"/>
      <c r="K36" s="292"/>
      <c r="L36" s="292"/>
      <c r="M36" s="292"/>
      <c r="N36" s="292"/>
      <c r="O36" s="290"/>
    </row>
    <row r="37" spans="1:15" x14ac:dyDescent="0.2">
      <c r="A37" s="501"/>
      <c r="B37" s="528"/>
      <c r="C37" s="528"/>
      <c r="D37" s="294"/>
      <c r="E37" s="334"/>
      <c r="F37" s="296"/>
      <c r="G37" s="296"/>
      <c r="H37" s="296"/>
      <c r="I37" s="296"/>
      <c r="J37" s="300"/>
      <c r="K37" s="300"/>
      <c r="L37" s="300"/>
      <c r="M37" s="300"/>
      <c r="N37" s="300"/>
      <c r="O37" s="299"/>
    </row>
    <row r="38" spans="1:15" ht="13.9" customHeight="1" x14ac:dyDescent="0.2">
      <c r="A38" s="523" t="s">
        <v>276</v>
      </c>
      <c r="B38" s="524"/>
      <c r="C38" s="524"/>
      <c r="D38" s="522"/>
      <c r="E38" s="305"/>
      <c r="F38" s="306">
        <v>1</v>
      </c>
      <c r="G38" s="306"/>
      <c r="H38" s="306"/>
      <c r="I38" s="306"/>
      <c r="J38" s="306"/>
      <c r="K38" s="306"/>
      <c r="L38" s="306"/>
      <c r="M38" s="306"/>
      <c r="N38" s="306"/>
      <c r="O38" s="307" t="s">
        <v>277</v>
      </c>
    </row>
    <row r="39" spans="1:15" ht="13.9" customHeight="1" x14ac:dyDescent="0.2">
      <c r="A39" s="523" t="s">
        <v>278</v>
      </c>
      <c r="B39" s="524"/>
      <c r="C39" s="524"/>
      <c r="D39" s="522"/>
      <c r="E39" s="305"/>
      <c r="F39" s="308">
        <f t="shared" ref="F39" si="3">$O$39*F38</f>
        <v>184878.57346352449</v>
      </c>
      <c r="G39" s="308"/>
      <c r="H39" s="308"/>
      <c r="I39" s="308"/>
      <c r="J39" s="308"/>
      <c r="K39" s="308"/>
      <c r="L39" s="308"/>
      <c r="M39" s="308"/>
      <c r="N39" s="308"/>
      <c r="O39" s="440">
        <f>O7+O9+O11+O13+O15+O17+O19+O21+O23+O25+O27+O29+O31+O33+O35</f>
        <v>184878.57346352449</v>
      </c>
    </row>
    <row r="40" spans="1:15" ht="13.9" customHeight="1" x14ac:dyDescent="0.2">
      <c r="A40" s="523" t="s">
        <v>279</v>
      </c>
      <c r="B40" s="524"/>
      <c r="C40" s="524"/>
      <c r="D40" s="522"/>
      <c r="E40" s="305"/>
      <c r="F40" s="306">
        <f>F38</f>
        <v>1</v>
      </c>
      <c r="G40" s="306"/>
      <c r="H40" s="306"/>
      <c r="I40" s="306"/>
      <c r="J40" s="306"/>
      <c r="K40" s="306"/>
      <c r="L40" s="306"/>
      <c r="M40" s="306"/>
      <c r="N40" s="306"/>
      <c r="O40" s="304"/>
    </row>
    <row r="41" spans="1:15" ht="15" customHeight="1" thickBot="1" x14ac:dyDescent="0.25">
      <c r="A41" s="525" t="s">
        <v>280</v>
      </c>
      <c r="B41" s="526"/>
      <c r="C41" s="526"/>
      <c r="D41" s="527"/>
      <c r="E41" s="309"/>
      <c r="F41" s="441">
        <f>F39</f>
        <v>184878.57346352449</v>
      </c>
      <c r="G41" s="441"/>
      <c r="H41" s="441"/>
      <c r="I41" s="441"/>
      <c r="J41" s="441"/>
      <c r="K41" s="441"/>
      <c r="L41" s="441"/>
      <c r="M41" s="441"/>
      <c r="N41" s="441"/>
      <c r="O41" s="442"/>
    </row>
    <row r="42" spans="1:15" x14ac:dyDescent="0.2">
      <c r="A42" s="496"/>
      <c r="B42" s="495"/>
      <c r="C42" s="495"/>
      <c r="D42" s="495"/>
      <c r="E42" s="495"/>
      <c r="F42" s="495"/>
      <c r="G42" s="495"/>
      <c r="H42" s="495"/>
      <c r="I42" s="495"/>
      <c r="J42" s="495"/>
      <c r="K42" s="495"/>
      <c r="L42" s="495"/>
      <c r="M42" s="495"/>
      <c r="N42" s="495"/>
      <c r="O42" s="497"/>
    </row>
    <row r="43" spans="1:15" x14ac:dyDescent="0.2">
      <c r="A43" s="498"/>
      <c r="B43" s="445"/>
      <c r="C43" s="445"/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99"/>
    </row>
    <row r="44" spans="1:15" x14ac:dyDescent="0.2">
      <c r="A44" s="498"/>
      <c r="B44" s="445"/>
      <c r="C44" s="445"/>
      <c r="D44" s="445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99"/>
    </row>
    <row r="45" spans="1:15" x14ac:dyDescent="0.2">
      <c r="A45" s="498"/>
      <c r="B45" s="445"/>
      <c r="C45" s="445"/>
      <c r="D45" s="445"/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499"/>
    </row>
    <row r="46" spans="1:15" x14ac:dyDescent="0.2">
      <c r="A46" s="498"/>
      <c r="B46" s="445"/>
      <c r="C46" s="445"/>
      <c r="D46" s="445"/>
      <c r="E46" s="445"/>
      <c r="F46" s="445"/>
      <c r="G46" s="445"/>
      <c r="H46" s="445"/>
      <c r="I46" s="445"/>
      <c r="J46" s="445"/>
      <c r="K46" s="445"/>
      <c r="L46" s="445"/>
      <c r="M46" s="445"/>
      <c r="N46" s="445"/>
      <c r="O46" s="499"/>
    </row>
    <row r="47" spans="1:15" x14ac:dyDescent="0.2">
      <c r="A47" s="498" t="s">
        <v>351</v>
      </c>
      <c r="B47" s="445"/>
      <c r="C47" s="445"/>
      <c r="D47" s="445"/>
      <c r="E47" s="445"/>
      <c r="F47" s="445"/>
      <c r="G47" s="445"/>
      <c r="H47" s="445"/>
      <c r="I47" s="445"/>
      <c r="J47" s="445"/>
      <c r="K47" s="445"/>
      <c r="L47" s="445"/>
      <c r="M47" s="445"/>
      <c r="N47" s="445"/>
      <c r="O47" s="499"/>
    </row>
    <row r="48" spans="1:15" ht="15" x14ac:dyDescent="0.25">
      <c r="A48" s="489" t="s">
        <v>356</v>
      </c>
      <c r="B48" s="490"/>
      <c r="C48" s="490"/>
      <c r="D48" s="490"/>
      <c r="E48" s="490"/>
      <c r="F48" s="490"/>
      <c r="G48" s="490"/>
      <c r="H48" s="490"/>
      <c r="I48" s="490"/>
      <c r="J48" s="490"/>
      <c r="K48" s="490"/>
      <c r="L48" s="490"/>
      <c r="M48" s="490"/>
      <c r="N48" s="490"/>
      <c r="O48" s="491"/>
    </row>
    <row r="49" spans="1:15" ht="15" x14ac:dyDescent="0.25">
      <c r="A49" s="489" t="s">
        <v>357</v>
      </c>
      <c r="B49" s="490"/>
      <c r="C49" s="490"/>
      <c r="D49" s="490"/>
      <c r="E49" s="490"/>
      <c r="F49" s="490"/>
      <c r="G49" s="490"/>
      <c r="H49" s="490"/>
      <c r="I49" s="490"/>
      <c r="J49" s="490"/>
      <c r="K49" s="490"/>
      <c r="L49" s="490"/>
      <c r="M49" s="490"/>
      <c r="N49" s="490"/>
      <c r="O49" s="491"/>
    </row>
    <row r="50" spans="1:15" ht="15" thickBot="1" x14ac:dyDescent="0.25">
      <c r="A50" s="492"/>
      <c r="B50" s="493"/>
      <c r="C50" s="493"/>
      <c r="D50" s="493"/>
      <c r="E50" s="493"/>
      <c r="F50" s="493"/>
      <c r="G50" s="493"/>
      <c r="H50" s="493"/>
      <c r="I50" s="493"/>
      <c r="J50" s="493"/>
      <c r="K50" s="493"/>
      <c r="L50" s="493"/>
      <c r="M50" s="493"/>
      <c r="N50" s="493"/>
      <c r="O50" s="494"/>
    </row>
    <row r="51" spans="1:15" x14ac:dyDescent="0.2">
      <c r="A51" s="495"/>
      <c r="B51" s="495"/>
      <c r="C51" s="495"/>
      <c r="D51" s="495"/>
      <c r="E51" s="495"/>
      <c r="F51" s="495"/>
      <c r="G51" s="495"/>
      <c r="H51" s="495"/>
      <c r="I51" s="495"/>
      <c r="J51" s="495"/>
      <c r="K51" s="495"/>
      <c r="L51" s="495"/>
      <c r="M51" s="495"/>
      <c r="N51" s="495"/>
      <c r="O51" s="495"/>
    </row>
  </sheetData>
  <protectedRanges>
    <protectedRange sqref="F6:N37" name="Intervalo1"/>
  </protectedRanges>
  <mergeCells count="53">
    <mergeCell ref="A34:A35"/>
    <mergeCell ref="B34:C35"/>
    <mergeCell ref="B36:C36"/>
    <mergeCell ref="B37:C37"/>
    <mergeCell ref="A36:A37"/>
    <mergeCell ref="A38:D38"/>
    <mergeCell ref="A39:D39"/>
    <mergeCell ref="A40:D40"/>
    <mergeCell ref="A41:D41"/>
    <mergeCell ref="A22:A23"/>
    <mergeCell ref="B22:C23"/>
    <mergeCell ref="A24:A25"/>
    <mergeCell ref="B24:C25"/>
    <mergeCell ref="A26:A27"/>
    <mergeCell ref="B26:C27"/>
    <mergeCell ref="A28:A29"/>
    <mergeCell ref="B28:C29"/>
    <mergeCell ref="A30:A31"/>
    <mergeCell ref="B30:C31"/>
    <mergeCell ref="A32:A33"/>
    <mergeCell ref="B32:C33"/>
    <mergeCell ref="A16:A17"/>
    <mergeCell ref="B16:C17"/>
    <mergeCell ref="A18:A19"/>
    <mergeCell ref="B18:C19"/>
    <mergeCell ref="A20:A21"/>
    <mergeCell ref="B20:C21"/>
    <mergeCell ref="A10:A11"/>
    <mergeCell ref="B10:C11"/>
    <mergeCell ref="A12:A13"/>
    <mergeCell ref="B12:C13"/>
    <mergeCell ref="A14:A15"/>
    <mergeCell ref="B14:C15"/>
    <mergeCell ref="A8:A9"/>
    <mergeCell ref="B8:C9"/>
    <mergeCell ref="D1:K1"/>
    <mergeCell ref="D2:K2"/>
    <mergeCell ref="D3:K3"/>
    <mergeCell ref="A1:C3"/>
    <mergeCell ref="A4:O4"/>
    <mergeCell ref="B5:C5"/>
    <mergeCell ref="A6:A7"/>
    <mergeCell ref="B6:C7"/>
    <mergeCell ref="A48:O48"/>
    <mergeCell ref="A49:O49"/>
    <mergeCell ref="A50:O50"/>
    <mergeCell ref="A51:O51"/>
    <mergeCell ref="A42:O42"/>
    <mergeCell ref="A43:O43"/>
    <mergeCell ref="A44:O44"/>
    <mergeCell ref="A47:O47"/>
    <mergeCell ref="A45:O45"/>
    <mergeCell ref="A46:O46"/>
  </mergeCells>
  <phoneticPr fontId="16" type="noConversion"/>
  <pageMargins left="0.511811024" right="0.511811024" top="0.78740157499999996" bottom="0.78740157499999996" header="0.31496062000000002" footer="0.31496062000000002"/>
  <pageSetup paperSize="9" scale="62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1"/>
  <sheetViews>
    <sheetView zoomScale="90" zoomScaleNormal="90" workbookViewId="0">
      <selection activeCell="D21" sqref="D21"/>
    </sheetView>
  </sheetViews>
  <sheetFormatPr defaultColWidth="8.7109375" defaultRowHeight="12.75" x14ac:dyDescent="0.2"/>
  <cols>
    <col min="1" max="1" width="3.42578125" style="391" customWidth="1"/>
    <col min="2" max="2" width="14.140625" style="391" customWidth="1"/>
    <col min="3" max="3" width="61.7109375" style="391" customWidth="1"/>
    <col min="4" max="1023" width="9.140625" style="391" customWidth="1"/>
    <col min="1024" max="16384" width="8.7109375" style="391"/>
  </cols>
  <sheetData>
    <row r="1" spans="2:4" ht="13.5" thickBot="1" x14ac:dyDescent="0.25"/>
    <row r="2" spans="2:4" ht="15.75" x14ac:dyDescent="0.25">
      <c r="B2" s="392"/>
      <c r="C2" s="529"/>
      <c r="D2" s="530"/>
    </row>
    <row r="3" spans="2:4" x14ac:dyDescent="0.2">
      <c r="B3" s="538" t="s">
        <v>198</v>
      </c>
      <c r="C3" s="539"/>
      <c r="D3" s="540"/>
    </row>
    <row r="4" spans="2:4" x14ac:dyDescent="0.2">
      <c r="B4" s="541"/>
      <c r="C4" s="542"/>
      <c r="D4" s="543"/>
    </row>
    <row r="5" spans="2:4" ht="15.75" x14ac:dyDescent="0.2">
      <c r="B5" s="544" t="s">
        <v>199</v>
      </c>
      <c r="C5" s="545"/>
      <c r="D5" s="546"/>
    </row>
    <row r="6" spans="2:4" ht="15.75" x14ac:dyDescent="0.2">
      <c r="B6" s="393" t="s">
        <v>200</v>
      </c>
      <c r="C6" s="394" t="s">
        <v>201</v>
      </c>
      <c r="D6" s="395"/>
    </row>
    <row r="7" spans="2:4" ht="15.75" x14ac:dyDescent="0.2">
      <c r="B7" s="396" t="s">
        <v>202</v>
      </c>
      <c r="C7" s="397" t="s">
        <v>203</v>
      </c>
      <c r="D7" s="398">
        <v>0.03</v>
      </c>
    </row>
    <row r="8" spans="2:4" ht="15.75" x14ac:dyDescent="0.2">
      <c r="B8" s="399" t="s">
        <v>204</v>
      </c>
      <c r="C8" s="400" t="s">
        <v>205</v>
      </c>
      <c r="D8" s="401">
        <v>8.0000000000000002E-3</v>
      </c>
    </row>
    <row r="9" spans="2:4" ht="15.75" x14ac:dyDescent="0.2">
      <c r="B9" s="402" t="s">
        <v>206</v>
      </c>
      <c r="C9" s="403" t="s">
        <v>207</v>
      </c>
      <c r="D9" s="404">
        <v>9.7000000000000003E-3</v>
      </c>
    </row>
    <row r="10" spans="2:4" ht="16.5" thickBot="1" x14ac:dyDescent="0.25">
      <c r="B10" s="405"/>
      <c r="C10" s="406" t="s">
        <v>208</v>
      </c>
      <c r="D10" s="407">
        <f>SUM(D7:D9)</f>
        <v>4.7699999999999999E-2</v>
      </c>
    </row>
    <row r="11" spans="2:4" ht="16.5" thickBot="1" x14ac:dyDescent="0.25">
      <c r="B11" s="408"/>
      <c r="C11" s="409"/>
      <c r="D11" s="410"/>
    </row>
    <row r="12" spans="2:4" ht="15.75" x14ac:dyDescent="0.2">
      <c r="B12" s="411" t="s">
        <v>209</v>
      </c>
      <c r="C12" s="412" t="s">
        <v>210</v>
      </c>
      <c r="D12" s="413"/>
    </row>
    <row r="13" spans="2:4" ht="15.75" x14ac:dyDescent="0.2">
      <c r="B13" s="414" t="s">
        <v>211</v>
      </c>
      <c r="C13" s="415" t="s">
        <v>212</v>
      </c>
      <c r="D13" s="416">
        <v>6.1600000000000002E-2</v>
      </c>
    </row>
    <row r="14" spans="2:4" ht="16.5" thickBot="1" x14ac:dyDescent="0.25">
      <c r="B14" s="417"/>
      <c r="C14" s="418" t="s">
        <v>213</v>
      </c>
      <c r="D14" s="407">
        <f>SUM(D13)</f>
        <v>6.1600000000000002E-2</v>
      </c>
    </row>
    <row r="15" spans="2:4" ht="16.5" thickBot="1" x14ac:dyDescent="0.25">
      <c r="B15" s="408"/>
      <c r="C15" s="409"/>
      <c r="D15" s="410"/>
    </row>
    <row r="16" spans="2:4" ht="15.75" x14ac:dyDescent="0.2">
      <c r="B16" s="411" t="s">
        <v>214</v>
      </c>
      <c r="C16" s="412" t="s">
        <v>215</v>
      </c>
      <c r="D16" s="413"/>
    </row>
    <row r="17" spans="2:4" ht="15.75" x14ac:dyDescent="0.2">
      <c r="B17" s="419" t="s">
        <v>216</v>
      </c>
      <c r="C17" s="397" t="s">
        <v>217</v>
      </c>
      <c r="D17" s="420">
        <v>6.4999999999999997E-3</v>
      </c>
    </row>
    <row r="18" spans="2:4" ht="15.75" x14ac:dyDescent="0.2">
      <c r="B18" s="421" t="s">
        <v>218</v>
      </c>
      <c r="C18" s="400" t="s">
        <v>219</v>
      </c>
      <c r="D18" s="422">
        <v>0.03</v>
      </c>
    </row>
    <row r="19" spans="2:4" ht="15.75" x14ac:dyDescent="0.2">
      <c r="B19" s="421" t="s">
        <v>220</v>
      </c>
      <c r="C19" s="423" t="s">
        <v>414</v>
      </c>
      <c r="D19" s="422">
        <v>3.2500000000000001E-2</v>
      </c>
    </row>
    <row r="20" spans="2:4" ht="15.75" hidden="1" x14ac:dyDescent="0.2">
      <c r="B20" s="424" t="s">
        <v>221</v>
      </c>
      <c r="C20" s="425" t="s">
        <v>222</v>
      </c>
      <c r="D20" s="426"/>
    </row>
    <row r="21" spans="2:4" ht="16.5" thickBot="1" x14ac:dyDescent="0.25">
      <c r="B21" s="427"/>
      <c r="C21" s="418" t="s">
        <v>223</v>
      </c>
      <c r="D21" s="407">
        <f>SUM(D17:D20)</f>
        <v>6.9000000000000006E-2</v>
      </c>
    </row>
    <row r="22" spans="2:4" ht="16.5" thickBot="1" x14ac:dyDescent="0.25">
      <c r="B22" s="428"/>
      <c r="C22" s="429"/>
      <c r="D22" s="430"/>
    </row>
    <row r="23" spans="2:4" ht="15.75" x14ac:dyDescent="0.2">
      <c r="B23" s="411" t="s">
        <v>224</v>
      </c>
      <c r="C23" s="412" t="s">
        <v>225</v>
      </c>
      <c r="D23" s="413"/>
    </row>
    <row r="24" spans="2:4" ht="15.75" x14ac:dyDescent="0.2">
      <c r="B24" s="431" t="s">
        <v>226</v>
      </c>
      <c r="C24" s="432" t="s">
        <v>227</v>
      </c>
      <c r="D24" s="433">
        <v>5.8999999999999999E-3</v>
      </c>
    </row>
    <row r="25" spans="2:4" ht="16.5" thickBot="1" x14ac:dyDescent="0.25">
      <c r="B25" s="417"/>
      <c r="C25" s="418" t="s">
        <v>228</v>
      </c>
      <c r="D25" s="434">
        <f>D24</f>
        <v>5.8999999999999999E-3</v>
      </c>
    </row>
    <row r="26" spans="2:4" ht="16.5" thickBot="1" x14ac:dyDescent="0.25">
      <c r="B26" s="408"/>
      <c r="C26" s="409"/>
      <c r="D26" s="410"/>
    </row>
    <row r="27" spans="2:4" ht="16.5" thickBot="1" x14ac:dyDescent="0.3">
      <c r="B27" s="547" t="s">
        <v>229</v>
      </c>
      <c r="C27" s="547"/>
      <c r="D27" s="435">
        <f>ROUND(((1+(D7+D8+D9))*(1+D25)*(1+D14)/(1-D21))-1,4)</f>
        <v>0.20169999999999999</v>
      </c>
    </row>
    <row r="28" spans="2:4" ht="15.75" x14ac:dyDescent="0.2">
      <c r="B28" s="556"/>
      <c r="C28" s="557"/>
      <c r="D28" s="558"/>
    </row>
    <row r="29" spans="2:4" ht="15.75" x14ac:dyDescent="0.2">
      <c r="B29" s="551"/>
      <c r="C29" s="552"/>
      <c r="D29" s="553"/>
    </row>
    <row r="30" spans="2:4" ht="15.75" x14ac:dyDescent="0.2">
      <c r="B30" s="551"/>
      <c r="C30" s="552"/>
      <c r="D30" s="553"/>
    </row>
    <row r="31" spans="2:4" ht="15.75" x14ac:dyDescent="0.2">
      <c r="B31" s="551"/>
      <c r="C31" s="552"/>
      <c r="D31" s="553"/>
    </row>
    <row r="32" spans="2:4" ht="15.75" x14ac:dyDescent="0.2">
      <c r="B32" s="551"/>
      <c r="C32" s="552"/>
      <c r="D32" s="553"/>
    </row>
    <row r="33" spans="2:10" ht="15.75" x14ac:dyDescent="0.2">
      <c r="B33" s="551"/>
      <c r="C33" s="552"/>
      <c r="D33" s="553"/>
    </row>
    <row r="34" spans="2:10" ht="15.75" x14ac:dyDescent="0.2">
      <c r="B34" s="551"/>
      <c r="C34" s="552"/>
      <c r="D34" s="553"/>
    </row>
    <row r="35" spans="2:10" ht="15.75" x14ac:dyDescent="0.2">
      <c r="B35" s="551"/>
      <c r="C35" s="552"/>
      <c r="D35" s="553"/>
    </row>
    <row r="36" spans="2:10" x14ac:dyDescent="0.2">
      <c r="B36" s="548" t="s">
        <v>230</v>
      </c>
      <c r="C36" s="549"/>
      <c r="D36" s="550"/>
    </row>
    <row r="37" spans="2:10" ht="15" x14ac:dyDescent="0.2">
      <c r="B37" s="531" t="s">
        <v>356</v>
      </c>
      <c r="C37" s="532"/>
      <c r="D37" s="533"/>
      <c r="E37" s="436"/>
      <c r="F37" s="436"/>
      <c r="G37" s="436"/>
      <c r="H37" s="436"/>
      <c r="I37" s="436"/>
      <c r="J37" s="436"/>
    </row>
    <row r="38" spans="2:10" ht="15" x14ac:dyDescent="0.2">
      <c r="B38" s="531" t="s">
        <v>357</v>
      </c>
      <c r="C38" s="532"/>
      <c r="D38" s="533"/>
      <c r="E38" s="436"/>
      <c r="F38" s="436"/>
      <c r="G38" s="436"/>
      <c r="H38" s="436"/>
      <c r="I38" s="436"/>
      <c r="J38" s="436"/>
    </row>
    <row r="39" spans="2:10" ht="14.25" x14ac:dyDescent="0.2">
      <c r="B39" s="554"/>
      <c r="C39" s="537"/>
      <c r="D39" s="555"/>
      <c r="E39" s="436"/>
      <c r="F39" s="436"/>
      <c r="G39" s="436"/>
      <c r="H39" s="436"/>
      <c r="I39" s="436"/>
      <c r="J39" s="436"/>
    </row>
    <row r="40" spans="2:10" ht="15" thickBot="1" x14ac:dyDescent="0.25">
      <c r="B40" s="534"/>
      <c r="C40" s="535"/>
      <c r="D40" s="536"/>
      <c r="E40" s="436"/>
      <c r="F40" s="436"/>
      <c r="G40" s="436"/>
      <c r="H40" s="436"/>
      <c r="I40" s="436"/>
      <c r="J40" s="436"/>
    </row>
    <row r="41" spans="2:10" ht="14.25" x14ac:dyDescent="0.2">
      <c r="B41" s="537"/>
      <c r="C41" s="537"/>
      <c r="D41" s="537"/>
      <c r="E41" s="436"/>
      <c r="F41" s="436"/>
      <c r="G41" s="436"/>
      <c r="H41" s="436"/>
      <c r="I41" s="436"/>
      <c r="J41" s="436"/>
    </row>
  </sheetData>
  <mergeCells count="18">
    <mergeCell ref="B30:D30"/>
    <mergeCell ref="B31:D31"/>
    <mergeCell ref="C2:D2"/>
    <mergeCell ref="B37:D37"/>
    <mergeCell ref="B40:D40"/>
    <mergeCell ref="B41:D41"/>
    <mergeCell ref="B3:D4"/>
    <mergeCell ref="B5:D5"/>
    <mergeCell ref="B27:C27"/>
    <mergeCell ref="B36:D36"/>
    <mergeCell ref="B34:D34"/>
    <mergeCell ref="B38:D38"/>
    <mergeCell ref="B39:D39"/>
    <mergeCell ref="B32:D32"/>
    <mergeCell ref="B33:D33"/>
    <mergeCell ref="B35:D35"/>
    <mergeCell ref="B28:D28"/>
    <mergeCell ref="B29:D29"/>
  </mergeCells>
  <printOptions horizontalCentered="1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3"/>
  <sheetViews>
    <sheetView topLeftCell="A148" zoomScale="70" zoomScaleNormal="70" workbookViewId="0">
      <selection activeCell="A170" sqref="A170:XFD184"/>
    </sheetView>
  </sheetViews>
  <sheetFormatPr defaultColWidth="8.7109375" defaultRowHeight="15" x14ac:dyDescent="0.25"/>
  <cols>
    <col min="1" max="1" width="1.7109375" customWidth="1"/>
    <col min="2" max="2" width="12.28515625" customWidth="1"/>
    <col min="3" max="3" width="22.42578125" customWidth="1"/>
    <col min="4" max="4" width="11.7109375" customWidth="1"/>
    <col min="5" max="5" width="71.28515625" customWidth="1"/>
    <col min="6" max="6" width="21.28515625" customWidth="1"/>
    <col min="7" max="7" width="9.42578125" customWidth="1"/>
    <col min="8" max="8" width="21.28515625" customWidth="1"/>
    <col min="9" max="9" width="21.28515625" hidden="1" customWidth="1"/>
    <col min="10" max="10" width="22.7109375" customWidth="1"/>
    <col min="11" max="11" width="22.7109375" hidden="1" customWidth="1"/>
    <col min="12" max="13" width="17.28515625" hidden="1" customWidth="1"/>
    <col min="14" max="14" width="20" hidden="1" customWidth="1"/>
    <col min="15" max="15" width="8.7109375" hidden="1" customWidth="1"/>
    <col min="16" max="17" width="17.7109375" bestFit="1" customWidth="1"/>
  </cols>
  <sheetData>
    <row r="1" spans="2:16" x14ac:dyDescent="0.25">
      <c r="I1" t="s">
        <v>0</v>
      </c>
      <c r="K1" t="s">
        <v>0</v>
      </c>
    </row>
    <row r="2" spans="2:16" ht="15.75" thickBot="1" x14ac:dyDescent="0.3"/>
    <row r="3" spans="2:16" x14ac:dyDescent="0.25">
      <c r="B3" s="563" t="s">
        <v>45</v>
      </c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  <c r="O3" s="564"/>
      <c r="P3" s="94"/>
    </row>
    <row r="4" spans="2:16" x14ac:dyDescent="0.25">
      <c r="B4" s="565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  <c r="O4" s="566"/>
      <c r="P4" s="94"/>
    </row>
    <row r="5" spans="2:16" x14ac:dyDescent="0.25">
      <c r="B5" s="565"/>
      <c r="C5" s="566"/>
      <c r="D5" s="566"/>
      <c r="E5" s="566"/>
      <c r="F5" s="566"/>
      <c r="G5" s="566"/>
      <c r="H5" s="566"/>
      <c r="I5" s="566"/>
      <c r="J5" s="566"/>
      <c r="K5" s="566"/>
      <c r="L5" s="566"/>
      <c r="M5" s="566"/>
      <c r="N5" s="566"/>
      <c r="O5" s="566"/>
      <c r="P5" s="94"/>
    </row>
    <row r="6" spans="2:16" x14ac:dyDescent="0.25">
      <c r="B6" s="565"/>
      <c r="C6" s="566"/>
      <c r="D6" s="566"/>
      <c r="E6" s="566"/>
      <c r="F6" s="566"/>
      <c r="G6" s="566"/>
      <c r="H6" s="566"/>
      <c r="I6" s="566"/>
      <c r="J6" s="566"/>
      <c r="K6" s="566"/>
      <c r="L6" s="566"/>
      <c r="M6" s="566"/>
      <c r="N6" s="566"/>
      <c r="O6" s="566"/>
      <c r="P6" s="94"/>
    </row>
    <row r="7" spans="2:16" x14ac:dyDescent="0.25">
      <c r="B7" s="565"/>
      <c r="C7" s="566"/>
      <c r="D7" s="566"/>
      <c r="E7" s="566"/>
      <c r="F7" s="566"/>
      <c r="G7" s="566"/>
      <c r="H7" s="566"/>
      <c r="I7" s="566"/>
      <c r="J7" s="566"/>
      <c r="K7" s="566"/>
      <c r="L7" s="566"/>
      <c r="M7" s="566"/>
      <c r="N7" s="566"/>
      <c r="O7" s="566"/>
      <c r="P7" s="94"/>
    </row>
    <row r="8" spans="2:16" ht="15.75" x14ac:dyDescent="0.25">
      <c r="B8" s="567" t="s">
        <v>1</v>
      </c>
      <c r="C8" s="568"/>
      <c r="D8" s="568"/>
      <c r="E8" s="568"/>
      <c r="F8" s="568"/>
      <c r="G8" s="568"/>
      <c r="H8" s="568"/>
      <c r="I8" s="568"/>
      <c r="J8" s="568"/>
      <c r="K8" s="568"/>
      <c r="L8" s="90"/>
      <c r="M8" s="90"/>
      <c r="N8" s="90"/>
      <c r="O8" s="90"/>
      <c r="P8" s="94"/>
    </row>
    <row r="9" spans="2:16" ht="15.75" x14ac:dyDescent="0.25">
      <c r="B9" s="569" t="s">
        <v>2</v>
      </c>
      <c r="C9" s="570"/>
      <c r="D9" s="570"/>
      <c r="E9" s="570"/>
      <c r="F9" s="570"/>
      <c r="G9" s="570"/>
      <c r="H9" s="570"/>
      <c r="I9" s="570"/>
      <c r="J9" s="570"/>
      <c r="K9" s="1"/>
      <c r="L9" s="2" t="s">
        <v>3</v>
      </c>
      <c r="M9" s="2"/>
      <c r="N9" s="2"/>
      <c r="O9" s="2"/>
      <c r="P9" s="94"/>
    </row>
    <row r="10" spans="2:16" ht="15.75" x14ac:dyDescent="0.25">
      <c r="B10" s="569" t="s">
        <v>197</v>
      </c>
      <c r="C10" s="570"/>
      <c r="D10" s="570"/>
      <c r="E10" s="570"/>
      <c r="F10" s="570"/>
      <c r="G10" s="570"/>
      <c r="H10" s="570"/>
      <c r="I10" s="570"/>
      <c r="J10" s="570"/>
      <c r="K10" s="570"/>
      <c r="L10" s="570"/>
      <c r="M10" s="570"/>
      <c r="N10" s="570"/>
      <c r="O10" s="570"/>
      <c r="P10" s="94"/>
    </row>
    <row r="11" spans="2:16" ht="15.75" x14ac:dyDescent="0.25">
      <c r="B11" s="571" t="s">
        <v>4</v>
      </c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94"/>
    </row>
    <row r="12" spans="2:16" ht="16.5" thickBot="1" x14ac:dyDescent="0.3">
      <c r="B12" s="573"/>
      <c r="C12" s="574"/>
      <c r="D12" s="574"/>
      <c r="E12" s="574"/>
      <c r="F12" s="574"/>
      <c r="G12" s="574"/>
      <c r="H12" s="574"/>
      <c r="I12" s="574"/>
      <c r="J12" s="574"/>
      <c r="K12" s="574"/>
      <c r="L12" s="574"/>
      <c r="M12" s="574"/>
      <c r="N12" s="574"/>
      <c r="O12" s="574"/>
      <c r="P12" s="94"/>
    </row>
    <row r="13" spans="2:16" ht="16.5" thickBot="1" x14ac:dyDescent="0.3"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</row>
    <row r="14" spans="2:16" ht="22.15" customHeight="1" x14ac:dyDescent="0.25">
      <c r="B14" s="593" t="s">
        <v>233</v>
      </c>
      <c r="C14" s="594"/>
      <c r="D14" s="594"/>
      <c r="E14" s="594"/>
      <c r="F14" s="594"/>
      <c r="G14" s="594"/>
      <c r="H14" s="595"/>
      <c r="I14" s="102"/>
      <c r="J14" s="595" t="s">
        <v>16</v>
      </c>
      <c r="K14" s="75"/>
      <c r="L14" s="559" t="s">
        <v>9</v>
      </c>
      <c r="M14" s="76"/>
      <c r="N14" s="74" t="s">
        <v>8</v>
      </c>
      <c r="O14" s="561" t="s">
        <v>9</v>
      </c>
    </row>
    <row r="15" spans="2:16" ht="22.15" customHeight="1" x14ac:dyDescent="0.25">
      <c r="B15" s="596"/>
      <c r="C15" s="597"/>
      <c r="D15" s="597"/>
      <c r="E15" s="597"/>
      <c r="F15" s="597"/>
      <c r="G15" s="597"/>
      <c r="H15" s="598"/>
      <c r="I15" s="103"/>
      <c r="J15" s="598"/>
      <c r="K15" s="45"/>
      <c r="L15" s="560"/>
      <c r="M15" s="4"/>
      <c r="N15" s="3" t="s">
        <v>10</v>
      </c>
      <c r="O15" s="562"/>
    </row>
    <row r="16" spans="2:16" ht="31.9" customHeight="1" x14ac:dyDescent="0.25">
      <c r="B16" s="22" t="s">
        <v>46</v>
      </c>
      <c r="C16" s="22" t="s">
        <v>47</v>
      </c>
      <c r="D16" s="95" t="s">
        <v>43</v>
      </c>
      <c r="E16" s="22" t="s">
        <v>5</v>
      </c>
      <c r="F16" s="92" t="s">
        <v>48</v>
      </c>
      <c r="G16" s="22" t="s">
        <v>49</v>
      </c>
      <c r="H16" s="96" t="s">
        <v>8</v>
      </c>
      <c r="I16" s="8"/>
      <c r="J16" s="117" t="s">
        <v>50</v>
      </c>
      <c r="K16" s="11"/>
      <c r="L16" s="10">
        <f>SUM(L17:L19)</f>
        <v>0</v>
      </c>
      <c r="M16" s="10"/>
      <c r="N16" s="52" t="e">
        <f>SUM(N17)</f>
        <v>#VALUE!</v>
      </c>
      <c r="O16" s="10" t="e">
        <f>N16/#REF!</f>
        <v>#VALUE!</v>
      </c>
    </row>
    <row r="17" spans="2:17" x14ac:dyDescent="0.25">
      <c r="B17" s="33" t="s">
        <v>51</v>
      </c>
      <c r="C17" s="119" t="s">
        <v>52</v>
      </c>
      <c r="D17" s="26" t="s">
        <v>53</v>
      </c>
      <c r="E17" s="118" t="s">
        <v>54</v>
      </c>
      <c r="F17" s="122" t="s">
        <v>15</v>
      </c>
      <c r="G17" s="123">
        <v>1</v>
      </c>
      <c r="H17" s="17">
        <v>27.8</v>
      </c>
      <c r="I17" s="17"/>
      <c r="J17" s="17">
        <f>H17*G17</f>
        <v>27.8</v>
      </c>
      <c r="K17" s="17" t="e">
        <f>(#REF!+#REF!+#REF!+#REF!+#REF!+#REF!+#REF!+#REF!)*($E$17/100)</f>
        <v>#REF!</v>
      </c>
      <c r="L17" s="27"/>
      <c r="M17" s="46"/>
      <c r="N17" s="53" t="e">
        <f>ROUND((M17*(E17/100)),2)</f>
        <v>#VALUE!</v>
      </c>
      <c r="O17" s="27" t="e">
        <f>N17/N16</f>
        <v>#VALUE!</v>
      </c>
      <c r="P17" s="20"/>
      <c r="Q17" s="20"/>
    </row>
    <row r="18" spans="2:17" hidden="1" x14ac:dyDescent="0.25">
      <c r="B18" s="24"/>
      <c r="C18" s="12"/>
      <c r="D18" s="13"/>
      <c r="E18" s="118"/>
      <c r="F18" s="124"/>
      <c r="G18" s="125"/>
      <c r="H18" s="17">
        <v>27.8</v>
      </c>
      <c r="I18" s="17"/>
      <c r="J18" s="17">
        <f t="shared" ref="J18:J24" si="0">H18*G18</f>
        <v>0</v>
      </c>
      <c r="K18" s="18"/>
      <c r="L18" s="19"/>
      <c r="M18" s="19"/>
      <c r="N18" s="49"/>
      <c r="O18" s="19"/>
    </row>
    <row r="19" spans="2:17" hidden="1" x14ac:dyDescent="0.25">
      <c r="B19" s="24"/>
      <c r="C19" s="12"/>
      <c r="D19" s="13"/>
      <c r="E19" s="118"/>
      <c r="F19" s="124"/>
      <c r="G19" s="125"/>
      <c r="H19" s="17">
        <v>27.8</v>
      </c>
      <c r="I19" s="17"/>
      <c r="J19" s="17">
        <f t="shared" si="0"/>
        <v>0</v>
      </c>
      <c r="K19" s="18"/>
      <c r="L19" s="19"/>
      <c r="M19" s="19"/>
      <c r="N19" s="49"/>
      <c r="O19" s="19"/>
    </row>
    <row r="20" spans="2:17" x14ac:dyDescent="0.25">
      <c r="B20" s="172" t="s">
        <v>51</v>
      </c>
      <c r="C20" s="172" t="s">
        <v>52</v>
      </c>
      <c r="D20" s="172" t="s">
        <v>55</v>
      </c>
      <c r="E20" s="35" t="s">
        <v>56</v>
      </c>
      <c r="F20" s="172" t="s">
        <v>15</v>
      </c>
      <c r="G20" s="172" t="s">
        <v>57</v>
      </c>
      <c r="H20" s="17">
        <v>22.36</v>
      </c>
      <c r="I20" s="98"/>
      <c r="J20" s="17">
        <f t="shared" si="0"/>
        <v>22.36</v>
      </c>
      <c r="K20" s="6"/>
      <c r="L20" s="21"/>
      <c r="M20" s="21"/>
      <c r="N20" s="50" t="e">
        <f>N21+#REF!</f>
        <v>#REF!</v>
      </c>
      <c r="O20" s="7" t="e">
        <f>N20/$N$297</f>
        <v>#REF!</v>
      </c>
    </row>
    <row r="21" spans="2:17" ht="43.9" customHeight="1" x14ac:dyDescent="0.25">
      <c r="B21" s="172" t="s">
        <v>51</v>
      </c>
      <c r="C21" s="172" t="s">
        <v>58</v>
      </c>
      <c r="D21" s="175" t="s">
        <v>59</v>
      </c>
      <c r="E21" s="31" t="s">
        <v>60</v>
      </c>
      <c r="F21" s="33" t="s">
        <v>12</v>
      </c>
      <c r="G21" s="172" t="s">
        <v>57</v>
      </c>
      <c r="H21" s="17">
        <v>1.43</v>
      </c>
      <c r="I21" s="81"/>
      <c r="J21" s="17">
        <f t="shared" si="0"/>
        <v>1.43</v>
      </c>
      <c r="K21" s="9"/>
      <c r="L21" s="23"/>
      <c r="M21" s="23"/>
      <c r="N21" s="72">
        <f>SUM(N22:N31)</f>
        <v>0</v>
      </c>
      <c r="O21" s="10" t="e">
        <f>N21/$N$20</f>
        <v>#REF!</v>
      </c>
    </row>
    <row r="22" spans="2:17" x14ac:dyDescent="0.25">
      <c r="B22" s="172" t="s">
        <v>51</v>
      </c>
      <c r="C22" s="174" t="s">
        <v>58</v>
      </c>
      <c r="D22" s="177" t="s">
        <v>61</v>
      </c>
      <c r="E22" s="118" t="s">
        <v>62</v>
      </c>
      <c r="F22" s="86" t="s">
        <v>12</v>
      </c>
      <c r="G22" s="176">
        <v>3</v>
      </c>
      <c r="H22" s="17">
        <v>6.49</v>
      </c>
      <c r="I22" s="17"/>
      <c r="J22" s="17">
        <f t="shared" si="0"/>
        <v>19.47</v>
      </c>
      <c r="K22" s="17"/>
      <c r="L22" s="27"/>
      <c r="M22" s="27"/>
      <c r="N22" s="53"/>
      <c r="O22" s="27"/>
    </row>
    <row r="23" spans="2:17" hidden="1" x14ac:dyDescent="0.25">
      <c r="B23" s="172"/>
      <c r="C23" s="174"/>
      <c r="D23" s="173"/>
      <c r="E23" s="118"/>
      <c r="F23" s="86"/>
      <c r="G23" s="176"/>
      <c r="H23" s="17">
        <v>27.8</v>
      </c>
      <c r="I23" s="17"/>
      <c r="J23" s="17">
        <f t="shared" si="0"/>
        <v>0</v>
      </c>
      <c r="K23" s="17"/>
      <c r="L23" s="27"/>
      <c r="M23" s="27"/>
      <c r="N23" s="51"/>
      <c r="O23" s="27"/>
    </row>
    <row r="24" spans="2:17" x14ac:dyDescent="0.25">
      <c r="B24" s="172" t="s">
        <v>63</v>
      </c>
      <c r="C24" s="174" t="s">
        <v>58</v>
      </c>
      <c r="D24" s="173" t="s">
        <v>64</v>
      </c>
      <c r="E24" s="118" t="s">
        <v>65</v>
      </c>
      <c r="F24" s="86" t="s">
        <v>12</v>
      </c>
      <c r="G24" s="176">
        <v>1</v>
      </c>
      <c r="H24" s="17">
        <v>5.34</v>
      </c>
      <c r="I24" s="17"/>
      <c r="J24" s="17">
        <f t="shared" si="0"/>
        <v>5.34</v>
      </c>
      <c r="K24" s="17"/>
      <c r="L24" s="27"/>
      <c r="M24" s="27"/>
      <c r="N24" s="53"/>
      <c r="O24" s="27"/>
    </row>
    <row r="25" spans="2:17" hidden="1" x14ac:dyDescent="0.25">
      <c r="B25" s="24"/>
      <c r="C25" s="25"/>
      <c r="D25" s="26"/>
      <c r="E25" s="14"/>
      <c r="F25" s="16"/>
      <c r="G25" s="15"/>
      <c r="H25" s="17"/>
      <c r="I25" s="17"/>
      <c r="J25" s="17"/>
      <c r="K25" s="17"/>
      <c r="L25" s="27"/>
      <c r="M25" s="27"/>
      <c r="N25" s="51"/>
      <c r="O25" s="27"/>
    </row>
    <row r="26" spans="2:17" hidden="1" x14ac:dyDescent="0.25">
      <c r="B26" s="24"/>
      <c r="C26" s="25"/>
      <c r="D26" s="26"/>
      <c r="E26" s="14"/>
      <c r="F26" s="16"/>
      <c r="G26" s="15"/>
      <c r="H26" s="17"/>
      <c r="I26" s="17"/>
      <c r="J26" s="17"/>
      <c r="K26" s="17"/>
      <c r="L26" s="27"/>
      <c r="M26" s="27"/>
      <c r="N26" s="51"/>
      <c r="O26" s="27"/>
    </row>
    <row r="27" spans="2:17" hidden="1" x14ac:dyDescent="0.25">
      <c r="B27" s="24"/>
      <c r="C27" s="25"/>
      <c r="D27" s="26"/>
      <c r="E27" s="14"/>
      <c r="F27" s="16"/>
      <c r="G27" s="15"/>
      <c r="H27" s="17"/>
      <c r="I27" s="17"/>
      <c r="J27" s="17"/>
      <c r="K27" s="17"/>
      <c r="L27" s="27"/>
      <c r="M27" s="27"/>
      <c r="N27" s="51"/>
      <c r="O27" s="27"/>
    </row>
    <row r="28" spans="2:17" hidden="1" x14ac:dyDescent="0.25">
      <c r="B28" s="24"/>
      <c r="C28" s="25"/>
      <c r="D28" s="26"/>
      <c r="E28" s="14"/>
      <c r="F28" s="16"/>
      <c r="G28" s="15"/>
      <c r="H28" s="17"/>
      <c r="I28" s="17"/>
      <c r="J28" s="17"/>
      <c r="K28" s="17"/>
      <c r="L28" s="27"/>
      <c r="M28" s="27"/>
      <c r="N28" s="51"/>
      <c r="O28" s="27"/>
    </row>
    <row r="29" spans="2:17" ht="13.15" hidden="1" customHeight="1" x14ac:dyDescent="0.25">
      <c r="B29" s="24"/>
      <c r="C29" s="25"/>
      <c r="D29" s="26"/>
      <c r="E29" s="56"/>
      <c r="F29" s="16"/>
      <c r="G29" s="15"/>
      <c r="H29" s="17"/>
      <c r="I29" s="17"/>
      <c r="J29" s="17"/>
      <c r="K29" s="17"/>
      <c r="L29" s="27"/>
      <c r="M29" s="27"/>
      <c r="N29" s="53">
        <f>ROUND((E29*I29),2)</f>
        <v>0</v>
      </c>
      <c r="O29" s="27" t="e">
        <f>N29/$N$21</f>
        <v>#DIV/0!</v>
      </c>
    </row>
    <row r="30" spans="2:17" ht="13.15" hidden="1" customHeight="1" x14ac:dyDescent="0.25">
      <c r="B30" s="24"/>
      <c r="C30" s="28"/>
      <c r="D30" s="26"/>
      <c r="E30" s="14"/>
      <c r="F30" s="16"/>
      <c r="G30" s="15"/>
      <c r="H30" s="17"/>
      <c r="I30" s="17"/>
      <c r="J30" s="17"/>
      <c r="K30" s="17"/>
      <c r="L30" s="27"/>
      <c r="M30" s="27"/>
      <c r="N30" s="53"/>
      <c r="O30" s="27"/>
    </row>
    <row r="31" spans="2:17" ht="13.15" hidden="1" customHeight="1" x14ac:dyDescent="0.25">
      <c r="B31" s="24"/>
      <c r="C31" s="25"/>
      <c r="D31" s="26"/>
      <c r="E31" s="14"/>
      <c r="F31" s="16"/>
      <c r="G31" s="15"/>
      <c r="H31" s="17"/>
      <c r="I31" s="17"/>
      <c r="J31" s="17"/>
      <c r="K31" s="17"/>
      <c r="L31" s="27"/>
      <c r="M31" s="27"/>
      <c r="N31" s="51"/>
      <c r="O31" s="27"/>
    </row>
    <row r="32" spans="2:17" ht="33" hidden="1" customHeight="1" x14ac:dyDescent="0.25">
      <c r="B32" s="24"/>
      <c r="C32" s="25"/>
      <c r="D32" s="26"/>
      <c r="E32" s="71"/>
      <c r="F32" s="30"/>
      <c r="G32" s="15"/>
      <c r="H32" s="17"/>
      <c r="I32" s="17"/>
      <c r="J32" s="17"/>
      <c r="K32" s="17"/>
      <c r="L32" s="27"/>
      <c r="M32" s="27"/>
      <c r="N32" s="53">
        <f>ROUND((E32*I32),2)</f>
        <v>0</v>
      </c>
      <c r="O32" s="27" t="e">
        <f>N32/#REF!</f>
        <v>#REF!</v>
      </c>
    </row>
    <row r="33" spans="2:16" ht="84.4" hidden="1" customHeight="1" x14ac:dyDescent="0.25">
      <c r="B33" s="24"/>
      <c r="C33" s="25"/>
      <c r="D33" s="13"/>
      <c r="E33" s="71"/>
      <c r="F33" s="30"/>
      <c r="G33" s="15"/>
      <c r="H33" s="17"/>
      <c r="I33" s="17"/>
      <c r="J33" s="17"/>
      <c r="K33" s="17"/>
      <c r="L33" s="27"/>
      <c r="M33" s="27"/>
      <c r="N33" s="53">
        <f>ROUND((E33*I33),2)</f>
        <v>0</v>
      </c>
      <c r="O33" s="27" t="e">
        <f>N33/#REF!</f>
        <v>#REF!</v>
      </c>
    </row>
    <row r="34" spans="2:16" hidden="1" x14ac:dyDescent="0.25">
      <c r="B34" s="104"/>
      <c r="C34" s="105"/>
      <c r="D34" s="108"/>
      <c r="E34" s="109"/>
      <c r="F34" s="110"/>
      <c r="G34" s="111"/>
      <c r="H34" s="58"/>
      <c r="I34" s="58"/>
      <c r="J34" s="58"/>
      <c r="K34" s="17"/>
      <c r="L34" s="27"/>
      <c r="M34" s="27"/>
      <c r="N34" s="53">
        <f>ROUND((E34*I34),2)</f>
        <v>0</v>
      </c>
      <c r="O34" s="27" t="e">
        <f>N34/#REF!</f>
        <v>#REF!</v>
      </c>
    </row>
    <row r="35" spans="2:16" x14ac:dyDescent="0.25">
      <c r="B35" s="138"/>
      <c r="C35" s="107"/>
      <c r="D35" s="112"/>
      <c r="E35" s="140"/>
      <c r="F35" s="114"/>
      <c r="G35" s="139"/>
      <c r="H35" s="241" t="s">
        <v>44</v>
      </c>
      <c r="I35" s="238"/>
      <c r="J35" s="241">
        <f>SUM(J17+J20+J21+J22+J24)</f>
        <v>76.400000000000006</v>
      </c>
      <c r="K35" s="87"/>
      <c r="L35" s="27"/>
      <c r="M35" s="27"/>
      <c r="N35" s="53"/>
      <c r="O35" s="27"/>
      <c r="P35" s="93"/>
    </row>
    <row r="36" spans="2:16" x14ac:dyDescent="0.25">
      <c r="B36" s="106"/>
      <c r="C36" s="107"/>
      <c r="D36" s="112"/>
      <c r="E36" s="113"/>
      <c r="F36" s="114"/>
      <c r="G36" s="115"/>
      <c r="H36" s="266"/>
      <c r="I36" s="40"/>
      <c r="J36" s="40"/>
      <c r="K36" s="87"/>
      <c r="L36" s="27"/>
      <c r="M36" s="27"/>
      <c r="N36" s="53"/>
      <c r="O36" s="27" t="e">
        <f>N36/#REF!</f>
        <v>#REF!</v>
      </c>
    </row>
    <row r="37" spans="2:16" ht="15.75" x14ac:dyDescent="0.25">
      <c r="B37" s="593" t="s">
        <v>234</v>
      </c>
      <c r="C37" s="594"/>
      <c r="D37" s="594"/>
      <c r="E37" s="594"/>
      <c r="F37" s="594"/>
      <c r="G37" s="594"/>
      <c r="H37" s="599"/>
      <c r="I37" s="236"/>
      <c r="J37" s="595" t="s">
        <v>17</v>
      </c>
      <c r="K37" s="127"/>
      <c r="L37" s="7"/>
      <c r="M37" s="7"/>
      <c r="N37" s="54" t="e">
        <f>N39+N43+N45+#REF!+N55+N60+N63+N68+N77+N80+N83+N88+N97</f>
        <v>#VALUE!</v>
      </c>
      <c r="O37" s="7" t="e">
        <f>N37/$N$297</f>
        <v>#VALUE!</v>
      </c>
    </row>
    <row r="38" spans="2:16" ht="15.75" x14ac:dyDescent="0.25">
      <c r="B38" s="596"/>
      <c r="C38" s="597"/>
      <c r="D38" s="597"/>
      <c r="E38" s="597"/>
      <c r="F38" s="597"/>
      <c r="G38" s="597"/>
      <c r="H38" s="598"/>
      <c r="I38" s="103"/>
      <c r="J38" s="598"/>
      <c r="K38" s="127"/>
      <c r="L38" s="7"/>
      <c r="M38" s="7"/>
      <c r="N38" s="54"/>
      <c r="O38" s="7"/>
    </row>
    <row r="39" spans="2:16" ht="30" x14ac:dyDescent="0.25">
      <c r="B39" s="22" t="s">
        <v>46</v>
      </c>
      <c r="C39" s="22" t="s">
        <v>47</v>
      </c>
      <c r="D39" s="95" t="s">
        <v>43</v>
      </c>
      <c r="E39" s="22" t="s">
        <v>5</v>
      </c>
      <c r="F39" s="92" t="s">
        <v>66</v>
      </c>
      <c r="G39" s="22" t="s">
        <v>49</v>
      </c>
      <c r="H39" s="96" t="s">
        <v>8</v>
      </c>
      <c r="I39" s="8"/>
      <c r="J39" s="117" t="s">
        <v>50</v>
      </c>
      <c r="K39" s="128"/>
      <c r="L39" s="10"/>
      <c r="M39" s="10"/>
      <c r="N39" s="52">
        <f>SUM(N40:N42)</f>
        <v>0</v>
      </c>
      <c r="O39" s="10" t="e">
        <f>N39/$N$37</f>
        <v>#VALUE!</v>
      </c>
    </row>
    <row r="40" spans="2:16" x14ac:dyDescent="0.25">
      <c r="B40" s="33" t="s">
        <v>51</v>
      </c>
      <c r="C40" s="119" t="s">
        <v>52</v>
      </c>
      <c r="D40" s="26" t="s">
        <v>67</v>
      </c>
      <c r="E40" s="118" t="s">
        <v>54</v>
      </c>
      <c r="F40" s="122" t="s">
        <v>15</v>
      </c>
      <c r="G40" s="123">
        <v>1</v>
      </c>
      <c r="H40" s="17">
        <v>27.8</v>
      </c>
      <c r="I40" s="17"/>
      <c r="J40" s="17">
        <f>H40*G40</f>
        <v>27.8</v>
      </c>
      <c r="K40" s="87"/>
      <c r="L40" s="27"/>
      <c r="M40" s="27"/>
      <c r="N40" s="53"/>
      <c r="O40" s="27" t="e">
        <f>N40/N39</f>
        <v>#DIV/0!</v>
      </c>
    </row>
    <row r="41" spans="2:16" ht="14.65" hidden="1" customHeight="1" x14ac:dyDescent="0.25">
      <c r="B41" s="24"/>
      <c r="C41" s="12"/>
      <c r="D41" s="13"/>
      <c r="E41" s="118"/>
      <c r="F41" s="124"/>
      <c r="G41" s="125"/>
      <c r="H41" s="16"/>
      <c r="I41" s="17"/>
      <c r="J41" s="17">
        <f t="shared" ref="J41:J50" si="1">H41*G41</f>
        <v>0</v>
      </c>
      <c r="K41" s="87"/>
      <c r="L41" s="27"/>
      <c r="M41" s="27"/>
      <c r="N41" s="53">
        <f>ROUND((E41*I41),2)</f>
        <v>0</v>
      </c>
      <c r="O41" s="27" t="e">
        <f>N41/N39</f>
        <v>#DIV/0!</v>
      </c>
    </row>
    <row r="42" spans="2:16" ht="14.65" hidden="1" customHeight="1" x14ac:dyDescent="0.25">
      <c r="B42" s="24"/>
      <c r="C42" s="12"/>
      <c r="D42" s="13"/>
      <c r="E42" s="118"/>
      <c r="F42" s="124"/>
      <c r="G42" s="125"/>
      <c r="H42" s="16"/>
      <c r="I42" s="17"/>
      <c r="J42" s="17">
        <f t="shared" si="1"/>
        <v>0</v>
      </c>
      <c r="K42" s="87"/>
      <c r="L42" s="27"/>
      <c r="M42" s="27"/>
      <c r="N42" s="53">
        <f>ROUND((E42*I42),2)</f>
        <v>0</v>
      </c>
      <c r="O42" s="27" t="e">
        <f>N42/$N$39</f>
        <v>#DIV/0!</v>
      </c>
    </row>
    <row r="43" spans="2:16" ht="14.65" hidden="1" customHeight="1" x14ac:dyDescent="0.25">
      <c r="B43" s="101"/>
      <c r="C43" s="97"/>
      <c r="D43" s="101"/>
      <c r="E43" s="98"/>
      <c r="F43" s="101"/>
      <c r="G43" s="101"/>
      <c r="H43" s="97"/>
      <c r="I43" s="98"/>
      <c r="J43" s="17">
        <f t="shared" si="1"/>
        <v>0</v>
      </c>
      <c r="K43" s="129"/>
      <c r="L43" s="83"/>
      <c r="M43" s="83"/>
      <c r="N43" s="84">
        <f>N44</f>
        <v>0</v>
      </c>
      <c r="O43" s="83">
        <v>0</v>
      </c>
    </row>
    <row r="44" spans="2:16" ht="14.65" hidden="1" customHeight="1" x14ac:dyDescent="0.25">
      <c r="B44" s="80"/>
      <c r="C44" s="100"/>
      <c r="D44" s="80"/>
      <c r="E44" s="91"/>
      <c r="F44" s="80"/>
      <c r="G44" s="80"/>
      <c r="H44" s="100"/>
      <c r="I44" s="81"/>
      <c r="J44" s="17">
        <f t="shared" si="1"/>
        <v>0</v>
      </c>
      <c r="K44" s="87"/>
      <c r="L44" s="27"/>
      <c r="M44" s="27"/>
      <c r="N44" s="53">
        <f>ROUND((E44*I44),2)</f>
        <v>0</v>
      </c>
      <c r="O44" s="27">
        <v>0</v>
      </c>
    </row>
    <row r="45" spans="2:16" ht="14.65" hidden="1" customHeight="1" x14ac:dyDescent="0.25">
      <c r="B45" s="33"/>
      <c r="C45" s="25"/>
      <c r="D45" s="26"/>
      <c r="E45" s="118"/>
      <c r="F45" s="86"/>
      <c r="G45" s="126"/>
      <c r="H45" s="121"/>
      <c r="I45" s="17"/>
      <c r="J45" s="17">
        <f t="shared" si="1"/>
        <v>0</v>
      </c>
      <c r="K45" s="129"/>
      <c r="L45" s="83"/>
      <c r="M45" s="83"/>
      <c r="N45" s="84" t="e">
        <f>SUM(N46:N53)</f>
        <v>#VALUE!</v>
      </c>
      <c r="O45" s="83" t="e">
        <f>N45/$N$37</f>
        <v>#VALUE!</v>
      </c>
    </row>
    <row r="46" spans="2:16" x14ac:dyDescent="0.25">
      <c r="B46" s="33" t="s">
        <v>51</v>
      </c>
      <c r="C46" s="29" t="s">
        <v>52</v>
      </c>
      <c r="D46" s="26" t="s">
        <v>55</v>
      </c>
      <c r="E46" s="118" t="s">
        <v>56</v>
      </c>
      <c r="F46" s="86" t="s">
        <v>15</v>
      </c>
      <c r="G46" s="176">
        <v>1</v>
      </c>
      <c r="H46" s="17">
        <v>22.36</v>
      </c>
      <c r="I46" s="17"/>
      <c r="J46" s="17">
        <f t="shared" si="1"/>
        <v>22.36</v>
      </c>
      <c r="K46" s="87"/>
      <c r="L46" s="27"/>
      <c r="M46" s="27"/>
      <c r="N46" s="53" t="e">
        <f>ROUND((E46*I46),2)</f>
        <v>#VALUE!</v>
      </c>
      <c r="O46" s="27" t="e">
        <f>N46/N45</f>
        <v>#VALUE!</v>
      </c>
    </row>
    <row r="47" spans="2:16" ht="46.9" customHeight="1" x14ac:dyDescent="0.25">
      <c r="B47" s="33" t="s">
        <v>51</v>
      </c>
      <c r="C47" s="29" t="s">
        <v>58</v>
      </c>
      <c r="D47" s="180" t="s">
        <v>59</v>
      </c>
      <c r="E47" s="179" t="s">
        <v>60</v>
      </c>
      <c r="F47" s="86" t="s">
        <v>12</v>
      </c>
      <c r="G47" s="176">
        <v>1</v>
      </c>
      <c r="H47" s="17">
        <v>1.43</v>
      </c>
      <c r="I47" s="17"/>
      <c r="J47" s="17">
        <f t="shared" si="1"/>
        <v>1.43</v>
      </c>
      <c r="K47" s="87"/>
      <c r="L47" s="27"/>
      <c r="M47" s="27"/>
      <c r="N47" s="53"/>
      <c r="O47" s="27"/>
    </row>
    <row r="48" spans="2:16" x14ac:dyDescent="0.25">
      <c r="B48" s="33" t="s">
        <v>51</v>
      </c>
      <c r="C48" s="29" t="s">
        <v>58</v>
      </c>
      <c r="D48" s="180" t="s">
        <v>68</v>
      </c>
      <c r="E48" s="118" t="s">
        <v>69</v>
      </c>
      <c r="F48" s="86" t="s">
        <v>12</v>
      </c>
      <c r="G48" s="176">
        <v>1</v>
      </c>
      <c r="H48" s="17">
        <v>8.4499999999999993</v>
      </c>
      <c r="I48" s="17"/>
      <c r="J48" s="17">
        <f t="shared" si="1"/>
        <v>8.4499999999999993</v>
      </c>
      <c r="K48" s="87"/>
      <c r="L48" s="27"/>
      <c r="M48" s="27"/>
      <c r="N48" s="53"/>
      <c r="O48" s="27"/>
    </row>
    <row r="49" spans="2:15" x14ac:dyDescent="0.25">
      <c r="B49" s="33" t="s">
        <v>51</v>
      </c>
      <c r="C49" s="29" t="s">
        <v>58</v>
      </c>
      <c r="D49" s="180" t="s">
        <v>61</v>
      </c>
      <c r="E49" s="118" t="s">
        <v>62</v>
      </c>
      <c r="F49" s="86" t="s">
        <v>12</v>
      </c>
      <c r="G49" s="176">
        <v>2</v>
      </c>
      <c r="H49" s="17">
        <v>6.49</v>
      </c>
      <c r="I49" s="17"/>
      <c r="J49" s="17">
        <f t="shared" si="1"/>
        <v>12.98</v>
      </c>
      <c r="K49" s="87"/>
      <c r="L49" s="27"/>
      <c r="M49" s="27"/>
      <c r="N49" s="53"/>
      <c r="O49" s="27"/>
    </row>
    <row r="50" spans="2:15" x14ac:dyDescent="0.25">
      <c r="B50" s="33" t="s">
        <v>63</v>
      </c>
      <c r="C50" s="29" t="s">
        <v>58</v>
      </c>
      <c r="D50" s="108" t="s">
        <v>64</v>
      </c>
      <c r="E50" s="225" t="s">
        <v>65</v>
      </c>
      <c r="F50" s="86" t="s">
        <v>12</v>
      </c>
      <c r="G50" s="176">
        <v>1</v>
      </c>
      <c r="H50" s="17">
        <v>5.34</v>
      </c>
      <c r="I50" s="17"/>
      <c r="J50" s="17">
        <f t="shared" si="1"/>
        <v>5.34</v>
      </c>
      <c r="K50" s="87"/>
      <c r="L50" s="27"/>
      <c r="M50" s="27"/>
      <c r="N50" s="53" t="e">
        <f>ROUND((E50*I50),2)</f>
        <v>#VALUE!</v>
      </c>
      <c r="O50" s="27" t="e">
        <f>N50/N46</f>
        <v>#VALUE!</v>
      </c>
    </row>
    <row r="51" spans="2:15" x14ac:dyDescent="0.25">
      <c r="B51" s="106"/>
      <c r="C51" s="113"/>
      <c r="D51" s="264"/>
      <c r="E51" s="265"/>
      <c r="F51" s="181"/>
      <c r="G51" s="182"/>
      <c r="H51" s="58" t="s">
        <v>44</v>
      </c>
      <c r="I51" s="58"/>
      <c r="J51" s="58">
        <f>SUM(J40+J46+J47+J48+J49+J50)</f>
        <v>78.36</v>
      </c>
      <c r="K51" s="87"/>
      <c r="L51" s="27"/>
      <c r="M51" s="27"/>
      <c r="N51" s="53"/>
      <c r="O51" s="27"/>
    </row>
    <row r="52" spans="2:15" x14ac:dyDescent="0.25">
      <c r="B52" s="106"/>
      <c r="C52" s="222"/>
      <c r="D52" s="112"/>
      <c r="E52" s="223"/>
      <c r="F52" s="40"/>
      <c r="G52" s="115"/>
      <c r="H52" s="263"/>
      <c r="I52" s="40"/>
      <c r="J52" s="263"/>
      <c r="K52" s="87"/>
      <c r="L52" s="27"/>
      <c r="M52" s="27"/>
      <c r="N52" s="51"/>
      <c r="O52" s="27"/>
    </row>
    <row r="53" spans="2:15" ht="18" customHeight="1" x14ac:dyDescent="0.25">
      <c r="B53" s="593" t="s">
        <v>235</v>
      </c>
      <c r="C53" s="594"/>
      <c r="D53" s="594"/>
      <c r="E53" s="594"/>
      <c r="F53" s="594"/>
      <c r="G53" s="594"/>
      <c r="H53" s="595"/>
      <c r="I53" s="236"/>
      <c r="J53" s="595" t="s">
        <v>18</v>
      </c>
      <c r="K53" s="87"/>
      <c r="L53" s="27"/>
      <c r="M53" s="27"/>
      <c r="N53" s="53"/>
      <c r="O53" s="27"/>
    </row>
    <row r="54" spans="2:15" ht="16.899999999999999" customHeight="1" x14ac:dyDescent="0.25">
      <c r="B54" s="596"/>
      <c r="C54" s="597"/>
      <c r="D54" s="597"/>
      <c r="E54" s="597"/>
      <c r="F54" s="597"/>
      <c r="G54" s="597"/>
      <c r="H54" s="598"/>
      <c r="I54" s="103"/>
      <c r="J54" s="598"/>
      <c r="K54" s="130"/>
      <c r="L54" s="27"/>
      <c r="M54" s="27"/>
      <c r="N54" s="51"/>
      <c r="O54" s="27"/>
    </row>
    <row r="55" spans="2:15" ht="30" x14ac:dyDescent="0.25">
      <c r="B55" s="22" t="s">
        <v>46</v>
      </c>
      <c r="C55" s="22" t="s">
        <v>47</v>
      </c>
      <c r="D55" s="95" t="s">
        <v>43</v>
      </c>
      <c r="E55" s="22" t="s">
        <v>5</v>
      </c>
      <c r="F55" s="92" t="s">
        <v>66</v>
      </c>
      <c r="G55" s="22" t="s">
        <v>49</v>
      </c>
      <c r="H55" s="96" t="s">
        <v>8</v>
      </c>
      <c r="I55" s="8"/>
      <c r="J55" s="117" t="s">
        <v>50</v>
      </c>
      <c r="K55" s="128"/>
      <c r="L55" s="10"/>
      <c r="M55" s="10"/>
      <c r="N55" s="52" t="e">
        <f>SUM(N56:N58)</f>
        <v>#VALUE!</v>
      </c>
      <c r="O55" s="10" t="e">
        <f>N55/$N$37</f>
        <v>#VALUE!</v>
      </c>
    </row>
    <row r="56" spans="2:15" x14ac:dyDescent="0.25">
      <c r="B56" s="33" t="s">
        <v>51</v>
      </c>
      <c r="C56" s="119" t="s">
        <v>52</v>
      </c>
      <c r="D56" s="26" t="s">
        <v>53</v>
      </c>
      <c r="E56" s="118" t="s">
        <v>54</v>
      </c>
      <c r="F56" s="122" t="s">
        <v>15</v>
      </c>
      <c r="G56" s="123">
        <v>1</v>
      </c>
      <c r="H56" s="17">
        <v>27.8</v>
      </c>
      <c r="I56" s="17"/>
      <c r="J56" s="17">
        <f>H56*G56</f>
        <v>27.8</v>
      </c>
      <c r="K56" s="87"/>
      <c r="L56" s="27"/>
      <c r="M56" s="27"/>
      <c r="N56" s="53"/>
      <c r="O56" s="27" t="e">
        <f>N56/N55</f>
        <v>#VALUE!</v>
      </c>
    </row>
    <row r="57" spans="2:15" x14ac:dyDescent="0.25">
      <c r="B57" s="33" t="s">
        <v>51</v>
      </c>
      <c r="C57" s="29" t="s">
        <v>52</v>
      </c>
      <c r="D57" s="26" t="s">
        <v>55</v>
      </c>
      <c r="E57" s="118" t="s">
        <v>56</v>
      </c>
      <c r="F57" s="86" t="s">
        <v>15</v>
      </c>
      <c r="G57" s="176">
        <v>1</v>
      </c>
      <c r="H57" s="17">
        <v>22.36</v>
      </c>
      <c r="I57" s="17"/>
      <c r="J57" s="17">
        <f t="shared" ref="J57:J62" si="2">H57*G57</f>
        <v>22.36</v>
      </c>
      <c r="K57" s="87"/>
      <c r="L57" s="27"/>
      <c r="M57" s="27"/>
      <c r="N57" s="53" t="e">
        <f>ROUND((E57*I57),2)</f>
        <v>#VALUE!</v>
      </c>
      <c r="O57" s="27" t="e">
        <f>N57/N56</f>
        <v>#VALUE!</v>
      </c>
    </row>
    <row r="58" spans="2:15" ht="46.9" customHeight="1" x14ac:dyDescent="0.25">
      <c r="B58" s="33" t="s">
        <v>51</v>
      </c>
      <c r="C58" s="29" t="s">
        <v>58</v>
      </c>
      <c r="D58" s="180" t="s">
        <v>59</v>
      </c>
      <c r="E58" s="179" t="s">
        <v>60</v>
      </c>
      <c r="F58" s="86" t="s">
        <v>12</v>
      </c>
      <c r="G58" s="176">
        <v>1</v>
      </c>
      <c r="H58" s="17">
        <v>1.43</v>
      </c>
      <c r="I58" s="17"/>
      <c r="J58" s="17">
        <f t="shared" si="2"/>
        <v>1.43</v>
      </c>
      <c r="K58" s="87"/>
      <c r="L58" s="27"/>
      <c r="M58" s="27"/>
      <c r="N58" s="53"/>
      <c r="O58" s="27"/>
    </row>
    <row r="59" spans="2:15" x14ac:dyDescent="0.25">
      <c r="B59" s="172" t="s">
        <v>51</v>
      </c>
      <c r="C59" s="172" t="s">
        <v>58</v>
      </c>
      <c r="D59" s="172" t="s">
        <v>68</v>
      </c>
      <c r="E59" s="35" t="s">
        <v>69</v>
      </c>
      <c r="F59" s="86" t="s">
        <v>12</v>
      </c>
      <c r="G59" s="172" t="s">
        <v>57</v>
      </c>
      <c r="H59" s="17">
        <v>8.4499999999999993</v>
      </c>
      <c r="I59" s="35"/>
      <c r="J59" s="17">
        <f t="shared" si="2"/>
        <v>8.4499999999999993</v>
      </c>
      <c r="K59" s="87"/>
      <c r="L59" s="27"/>
      <c r="M59" s="27"/>
      <c r="N59" s="53"/>
      <c r="O59" s="27"/>
    </row>
    <row r="60" spans="2:15" x14ac:dyDescent="0.25">
      <c r="B60" s="172" t="s">
        <v>51</v>
      </c>
      <c r="C60" s="172" t="s">
        <v>58</v>
      </c>
      <c r="D60" s="172" t="s">
        <v>61</v>
      </c>
      <c r="E60" s="35" t="s">
        <v>62</v>
      </c>
      <c r="F60" s="86" t="s">
        <v>12</v>
      </c>
      <c r="G60" s="172" t="s">
        <v>57</v>
      </c>
      <c r="H60" s="17">
        <v>6.49</v>
      </c>
      <c r="I60" s="185"/>
      <c r="J60" s="17">
        <f t="shared" si="2"/>
        <v>6.49</v>
      </c>
      <c r="K60" s="128"/>
      <c r="L60" s="10"/>
      <c r="M60" s="10"/>
      <c r="N60" s="52" t="e">
        <f>SUM(N61:N62)</f>
        <v>#VALUE!</v>
      </c>
      <c r="O60" s="10" t="e">
        <f>N60/$N$37</f>
        <v>#VALUE!</v>
      </c>
    </row>
    <row r="61" spans="2:15" x14ac:dyDescent="0.25">
      <c r="B61" s="172" t="s">
        <v>63</v>
      </c>
      <c r="C61" s="174" t="s">
        <v>58</v>
      </c>
      <c r="D61" s="173" t="s">
        <v>70</v>
      </c>
      <c r="E61" s="183" t="s">
        <v>71</v>
      </c>
      <c r="F61" s="86" t="s">
        <v>12</v>
      </c>
      <c r="G61" s="176">
        <v>1</v>
      </c>
      <c r="H61" s="17">
        <v>10.6</v>
      </c>
      <c r="I61" s="85"/>
      <c r="J61" s="17">
        <f t="shared" si="2"/>
        <v>10.6</v>
      </c>
      <c r="K61" s="87"/>
      <c r="L61" s="27"/>
      <c r="M61" s="27"/>
      <c r="N61" s="53" t="e">
        <f>ROUND((E61*I61),2)</f>
        <v>#VALUE!</v>
      </c>
      <c r="O61" s="27" t="e">
        <f>N61/N61</f>
        <v>#VALUE!</v>
      </c>
    </row>
    <row r="62" spans="2:15" ht="14.65" hidden="1" customHeight="1" x14ac:dyDescent="0.25">
      <c r="B62" s="186"/>
      <c r="C62" s="187"/>
      <c r="D62" s="188"/>
      <c r="E62" s="189"/>
      <c r="F62" s="198" t="s">
        <v>12</v>
      </c>
      <c r="G62" s="199"/>
      <c r="H62" s="17">
        <v>1.43</v>
      </c>
      <c r="I62" s="85"/>
      <c r="J62" s="17">
        <f t="shared" si="2"/>
        <v>0</v>
      </c>
      <c r="K62" s="130"/>
      <c r="L62" s="27"/>
      <c r="M62" s="27"/>
      <c r="N62" s="51"/>
      <c r="O62" s="27"/>
    </row>
    <row r="63" spans="2:15" ht="13.9" customHeight="1" x14ac:dyDescent="0.25">
      <c r="B63" s="194"/>
      <c r="C63" s="195"/>
      <c r="D63" s="196"/>
      <c r="E63" s="197"/>
      <c r="F63" s="181"/>
      <c r="G63" s="201"/>
      <c r="H63" s="224" t="s">
        <v>44</v>
      </c>
      <c r="I63" s="85"/>
      <c r="J63" s="17">
        <f>SUM(J56+J57+J58+J59+J60+J61)</f>
        <v>77.129999999999981</v>
      </c>
      <c r="K63" s="128"/>
      <c r="L63" s="10"/>
      <c r="M63" s="10"/>
      <c r="N63" s="52">
        <f>SUM(N64:N67)</f>
        <v>0</v>
      </c>
      <c r="O63" s="10" t="e">
        <f>N63/N37</f>
        <v>#VALUE!</v>
      </c>
    </row>
    <row r="64" spans="2:15" hidden="1" x14ac:dyDescent="0.25">
      <c r="B64" s="106"/>
      <c r="C64" s="222"/>
      <c r="D64" s="112"/>
      <c r="E64" s="223"/>
      <c r="F64" s="40"/>
      <c r="G64" s="115"/>
      <c r="H64" s="87">
        <v>1.43</v>
      </c>
      <c r="I64" s="149"/>
      <c r="J64" s="149"/>
      <c r="K64" s="130"/>
      <c r="L64" s="27"/>
      <c r="M64" s="27"/>
      <c r="N64" s="53">
        <f>ROUND((E64*I64),2)</f>
        <v>0</v>
      </c>
      <c r="O64" s="27"/>
    </row>
    <row r="65" spans="2:15" hidden="1" x14ac:dyDescent="0.25">
      <c r="B65" s="106"/>
      <c r="C65" s="222"/>
      <c r="D65" s="112"/>
      <c r="E65" s="223"/>
      <c r="F65" s="40"/>
      <c r="G65" s="115"/>
      <c r="H65" s="57">
        <v>1.43</v>
      </c>
      <c r="I65" s="229"/>
      <c r="J65" s="229"/>
      <c r="K65" s="130"/>
      <c r="L65" s="27"/>
      <c r="M65" s="27"/>
      <c r="N65" s="53">
        <f>ROUND((E65*I65),2)</f>
        <v>0</v>
      </c>
      <c r="O65" s="27"/>
    </row>
    <row r="66" spans="2:15" ht="15.75" thickBot="1" x14ac:dyDescent="0.3">
      <c r="B66" s="106"/>
      <c r="C66" s="222"/>
      <c r="D66" s="112"/>
      <c r="E66" s="223"/>
      <c r="F66" s="40"/>
      <c r="G66" s="115"/>
      <c r="H66" s="40"/>
      <c r="I66" s="40"/>
      <c r="J66" s="40"/>
      <c r="K66" s="87"/>
      <c r="L66" s="27"/>
      <c r="M66" s="27"/>
      <c r="N66" s="53">
        <f>ROUND((E66*I66),2)</f>
        <v>0</v>
      </c>
      <c r="O66" s="27" t="e">
        <f>N66/N63</f>
        <v>#DIV/0!</v>
      </c>
    </row>
    <row r="67" spans="2:15" ht="12" hidden="1" customHeight="1" x14ac:dyDescent="0.25">
      <c r="B67" s="190"/>
      <c r="C67" s="191"/>
      <c r="D67" s="192"/>
      <c r="E67" s="221"/>
      <c r="F67" s="178"/>
      <c r="G67" s="200"/>
      <c r="H67" s="178"/>
      <c r="I67" s="178"/>
      <c r="J67" s="178"/>
      <c r="K67" s="130"/>
      <c r="L67" s="27"/>
      <c r="M67" s="27"/>
      <c r="N67" s="53">
        <f>ROUND((E67*I67),2)</f>
        <v>0</v>
      </c>
      <c r="O67" s="27"/>
    </row>
    <row r="68" spans="2:15" hidden="1" x14ac:dyDescent="0.25">
      <c r="B68" s="142"/>
      <c r="C68" s="580"/>
      <c r="D68" s="580"/>
      <c r="E68" s="580"/>
      <c r="F68" s="580"/>
      <c r="G68" s="580"/>
      <c r="H68" s="580"/>
      <c r="I68" s="143"/>
      <c r="J68" s="144"/>
      <c r="K68" s="128"/>
      <c r="L68" s="10"/>
      <c r="M68" s="10"/>
      <c r="N68" s="48"/>
      <c r="O68" s="10" t="e">
        <f>N68/$N$20</f>
        <v>#REF!</v>
      </c>
    </row>
    <row r="69" spans="2:15" hidden="1" x14ac:dyDescent="0.25">
      <c r="B69" s="145"/>
      <c r="C69" s="152"/>
      <c r="D69" s="147"/>
      <c r="E69" s="148"/>
      <c r="F69" s="149"/>
      <c r="G69" s="150"/>
      <c r="H69" s="149"/>
      <c r="I69" s="149"/>
      <c r="J69" s="149"/>
      <c r="K69" s="130"/>
      <c r="L69" s="27"/>
      <c r="M69" s="27"/>
      <c r="N69" s="51"/>
      <c r="O69" s="27"/>
    </row>
    <row r="70" spans="2:15" hidden="1" x14ac:dyDescent="0.25">
      <c r="B70" s="153"/>
      <c r="C70" s="581"/>
      <c r="D70" s="581"/>
      <c r="E70" s="581"/>
      <c r="F70" s="581"/>
      <c r="G70" s="581"/>
      <c r="H70" s="581"/>
      <c r="I70" s="141"/>
      <c r="J70" s="154"/>
      <c r="K70" s="127"/>
      <c r="L70" s="7"/>
      <c r="M70" s="7"/>
      <c r="N70" s="54">
        <f>N71+N74+N77+N80+N83+N88+N92+N94+N97</f>
        <v>0</v>
      </c>
      <c r="O70" s="7" t="e">
        <f>N70/$N$297</f>
        <v>#REF!</v>
      </c>
    </row>
    <row r="71" spans="2:15" hidden="1" x14ac:dyDescent="0.25">
      <c r="B71" s="142"/>
      <c r="C71" s="580"/>
      <c r="D71" s="580"/>
      <c r="E71" s="580"/>
      <c r="F71" s="580"/>
      <c r="G71" s="580"/>
      <c r="H71" s="580"/>
      <c r="I71" s="143"/>
      <c r="J71" s="144"/>
      <c r="K71" s="128"/>
      <c r="L71" s="10"/>
      <c r="M71" s="10"/>
      <c r="N71" s="52">
        <f>SUM(N72)</f>
        <v>0</v>
      </c>
      <c r="O71" s="10" t="e">
        <f>N71/$N$70</f>
        <v>#DIV/0!</v>
      </c>
    </row>
    <row r="72" spans="2:15" hidden="1" x14ac:dyDescent="0.25">
      <c r="B72" s="145"/>
      <c r="C72" s="152"/>
      <c r="D72" s="147"/>
      <c r="E72" s="148"/>
      <c r="F72" s="149"/>
      <c r="G72" s="150"/>
      <c r="H72" s="149"/>
      <c r="I72" s="149"/>
      <c r="J72" s="149"/>
      <c r="K72" s="130"/>
      <c r="L72" s="27"/>
      <c r="M72" s="27"/>
      <c r="N72" s="53">
        <f>ROUND((E72*I72),2)</f>
        <v>0</v>
      </c>
      <c r="O72" s="27" t="e">
        <f>N72/N71</f>
        <v>#DIV/0!</v>
      </c>
    </row>
    <row r="73" spans="2:15" hidden="1" x14ac:dyDescent="0.25">
      <c r="B73" s="145"/>
      <c r="C73" s="146"/>
      <c r="D73" s="147"/>
      <c r="E73" s="148"/>
      <c r="F73" s="149"/>
      <c r="G73" s="150"/>
      <c r="H73" s="149"/>
      <c r="I73" s="149"/>
      <c r="J73" s="149"/>
      <c r="K73" s="130"/>
      <c r="L73" s="27"/>
      <c r="M73" s="27"/>
      <c r="N73" s="51"/>
      <c r="O73" s="27">
        <v>0</v>
      </c>
    </row>
    <row r="74" spans="2:15" hidden="1" x14ac:dyDescent="0.25">
      <c r="B74" s="142"/>
      <c r="C74" s="580"/>
      <c r="D74" s="580"/>
      <c r="E74" s="580"/>
      <c r="F74" s="580"/>
      <c r="G74" s="580"/>
      <c r="H74" s="580"/>
      <c r="I74" s="143"/>
      <c r="J74" s="144"/>
      <c r="K74" s="128"/>
      <c r="L74" s="10"/>
      <c r="M74" s="10"/>
      <c r="N74" s="52">
        <f>SUM(N75)</f>
        <v>0</v>
      </c>
      <c r="O74" s="10" t="e">
        <f>N74/$N$70</f>
        <v>#DIV/0!</v>
      </c>
    </row>
    <row r="75" spans="2:15" hidden="1" x14ac:dyDescent="0.25">
      <c r="B75" s="145"/>
      <c r="C75" s="152"/>
      <c r="D75" s="147"/>
      <c r="E75" s="148"/>
      <c r="F75" s="149"/>
      <c r="G75" s="150"/>
      <c r="H75" s="149"/>
      <c r="I75" s="149"/>
      <c r="J75" s="149"/>
      <c r="K75" s="130"/>
      <c r="L75" s="27"/>
      <c r="M75" s="27"/>
      <c r="N75" s="53">
        <f>ROUND((E75*I75),2)</f>
        <v>0</v>
      </c>
      <c r="O75" s="27" t="e">
        <f>N75/N74</f>
        <v>#DIV/0!</v>
      </c>
    </row>
    <row r="76" spans="2:15" hidden="1" x14ac:dyDescent="0.25">
      <c r="B76" s="145"/>
      <c r="C76" s="146"/>
      <c r="D76" s="147"/>
      <c r="E76" s="148"/>
      <c r="F76" s="149"/>
      <c r="G76" s="150"/>
      <c r="H76" s="149"/>
      <c r="I76" s="149"/>
      <c r="J76" s="149"/>
      <c r="K76" s="130"/>
      <c r="L76" s="27"/>
      <c r="M76" s="27"/>
      <c r="N76" s="51"/>
      <c r="O76" s="27">
        <v>0</v>
      </c>
    </row>
    <row r="77" spans="2:15" hidden="1" x14ac:dyDescent="0.25">
      <c r="B77" s="142"/>
      <c r="C77" s="580"/>
      <c r="D77" s="580"/>
      <c r="E77" s="580"/>
      <c r="F77" s="580"/>
      <c r="G77" s="580"/>
      <c r="H77" s="580"/>
      <c r="I77" s="143"/>
      <c r="J77" s="144"/>
      <c r="K77" s="128"/>
      <c r="L77" s="10"/>
      <c r="M77" s="10"/>
      <c r="N77" s="52">
        <f>SUM(N79)</f>
        <v>0</v>
      </c>
      <c r="O77" s="10" t="e">
        <f>N77/$N$70</f>
        <v>#DIV/0!</v>
      </c>
    </row>
    <row r="78" spans="2:15" hidden="1" x14ac:dyDescent="0.25">
      <c r="B78" s="145"/>
      <c r="C78" s="152"/>
      <c r="D78" s="147"/>
      <c r="E78" s="148"/>
      <c r="F78" s="149"/>
      <c r="G78" s="150"/>
      <c r="H78" s="149"/>
      <c r="I78" s="149"/>
      <c r="J78" s="149"/>
      <c r="K78" s="130"/>
      <c r="L78" s="27"/>
      <c r="M78" s="27"/>
      <c r="N78" s="51"/>
      <c r="O78" s="27">
        <v>0</v>
      </c>
    </row>
    <row r="79" spans="2:15" hidden="1" x14ac:dyDescent="0.25">
      <c r="B79" s="145"/>
      <c r="C79" s="152"/>
      <c r="D79" s="147"/>
      <c r="E79" s="148"/>
      <c r="F79" s="149"/>
      <c r="G79" s="150"/>
      <c r="H79" s="149"/>
      <c r="I79" s="149"/>
      <c r="J79" s="149"/>
      <c r="K79" s="130"/>
      <c r="L79" s="27"/>
      <c r="M79" s="27"/>
      <c r="N79" s="53">
        <f>ROUND((E79*I79),2)</f>
        <v>0</v>
      </c>
      <c r="O79" s="27">
        <v>0</v>
      </c>
    </row>
    <row r="80" spans="2:15" hidden="1" x14ac:dyDescent="0.25">
      <c r="B80" s="142"/>
      <c r="C80" s="580"/>
      <c r="D80" s="580"/>
      <c r="E80" s="580"/>
      <c r="F80" s="580"/>
      <c r="G80" s="580"/>
      <c r="H80" s="580"/>
      <c r="I80" s="143"/>
      <c r="J80" s="144"/>
      <c r="K80" s="128"/>
      <c r="L80" s="10"/>
      <c r="M80" s="10"/>
      <c r="N80" s="52">
        <f>SUM(N82)</f>
        <v>0</v>
      </c>
      <c r="O80" s="10" t="e">
        <f>N80/$N$70</f>
        <v>#DIV/0!</v>
      </c>
    </row>
    <row r="81" spans="2:15" hidden="1" x14ac:dyDescent="0.25">
      <c r="B81" s="145"/>
      <c r="C81" s="146"/>
      <c r="D81" s="147"/>
      <c r="E81" s="148"/>
      <c r="F81" s="149"/>
      <c r="G81" s="150"/>
      <c r="H81" s="149"/>
      <c r="I81" s="149"/>
      <c r="J81" s="149"/>
      <c r="K81" s="130"/>
      <c r="L81" s="27"/>
      <c r="M81" s="27"/>
      <c r="N81" s="51"/>
      <c r="O81" s="27">
        <v>0</v>
      </c>
    </row>
    <row r="82" spans="2:15" hidden="1" x14ac:dyDescent="0.25">
      <c r="B82" s="145"/>
      <c r="C82" s="146"/>
      <c r="D82" s="147"/>
      <c r="E82" s="148"/>
      <c r="F82" s="149"/>
      <c r="G82" s="150"/>
      <c r="H82" s="149"/>
      <c r="I82" s="149"/>
      <c r="J82" s="149"/>
      <c r="K82" s="130"/>
      <c r="L82" s="27"/>
      <c r="M82" s="27"/>
      <c r="N82" s="53">
        <f>ROUND((E82*I82),2)</f>
        <v>0</v>
      </c>
      <c r="O82" s="27" t="e">
        <f>N82/N80</f>
        <v>#DIV/0!</v>
      </c>
    </row>
    <row r="83" spans="2:15" hidden="1" x14ac:dyDescent="0.25">
      <c r="B83" s="142"/>
      <c r="C83" s="580"/>
      <c r="D83" s="580"/>
      <c r="E83" s="580"/>
      <c r="F83" s="580"/>
      <c r="G83" s="580"/>
      <c r="H83" s="580"/>
      <c r="I83" s="143"/>
      <c r="J83" s="144"/>
      <c r="K83" s="128"/>
      <c r="L83" s="10"/>
      <c r="M83" s="10"/>
      <c r="N83" s="52">
        <f>SUM(N84:N87)</f>
        <v>0</v>
      </c>
      <c r="O83" s="10" t="e">
        <f>N83/$N$70</f>
        <v>#DIV/0!</v>
      </c>
    </row>
    <row r="84" spans="2:15" hidden="1" x14ac:dyDescent="0.25">
      <c r="B84" s="145"/>
      <c r="C84" s="146"/>
      <c r="D84" s="147"/>
      <c r="E84" s="148"/>
      <c r="F84" s="149"/>
      <c r="G84" s="150"/>
      <c r="H84" s="149"/>
      <c r="I84" s="149"/>
      <c r="J84" s="149"/>
      <c r="K84" s="130"/>
      <c r="L84" s="27"/>
      <c r="M84" s="27"/>
      <c r="N84" s="51"/>
      <c r="O84" s="27" t="e">
        <f>N84/$N$83</f>
        <v>#DIV/0!</v>
      </c>
    </row>
    <row r="85" spans="2:15" hidden="1" x14ac:dyDescent="0.25">
      <c r="B85" s="145"/>
      <c r="C85" s="146"/>
      <c r="D85" s="147"/>
      <c r="E85" s="148"/>
      <c r="F85" s="149"/>
      <c r="G85" s="150"/>
      <c r="H85" s="149"/>
      <c r="I85" s="149"/>
      <c r="J85" s="149"/>
      <c r="K85" s="130"/>
      <c r="L85" s="27"/>
      <c r="M85" s="27"/>
      <c r="N85" s="53">
        <f>ROUND((E85*I85),2)</f>
        <v>0</v>
      </c>
      <c r="O85" s="27" t="e">
        <f>N85/$N$83</f>
        <v>#DIV/0!</v>
      </c>
    </row>
    <row r="86" spans="2:15" hidden="1" x14ac:dyDescent="0.25">
      <c r="B86" s="145"/>
      <c r="C86" s="146"/>
      <c r="D86" s="147"/>
      <c r="E86" s="148"/>
      <c r="F86" s="149"/>
      <c r="G86" s="150"/>
      <c r="H86" s="149"/>
      <c r="I86" s="149"/>
      <c r="J86" s="149"/>
      <c r="K86" s="130"/>
      <c r="L86" s="27"/>
      <c r="M86" s="27"/>
      <c r="N86" s="51"/>
      <c r="O86" s="27" t="e">
        <f>N86/$N$83</f>
        <v>#DIV/0!</v>
      </c>
    </row>
    <row r="87" spans="2:15" hidden="1" x14ac:dyDescent="0.25">
      <c r="B87" s="145"/>
      <c r="C87" s="146"/>
      <c r="D87" s="147"/>
      <c r="E87" s="148"/>
      <c r="F87" s="149"/>
      <c r="G87" s="150"/>
      <c r="H87" s="149"/>
      <c r="I87" s="149"/>
      <c r="J87" s="149"/>
      <c r="K87" s="130"/>
      <c r="L87" s="27"/>
      <c r="M87" s="27"/>
      <c r="N87" s="53">
        <f>ROUND((E87*I87),2)</f>
        <v>0</v>
      </c>
      <c r="O87" s="27" t="e">
        <f>N87/$N$83</f>
        <v>#DIV/0!</v>
      </c>
    </row>
    <row r="88" spans="2:15" hidden="1" x14ac:dyDescent="0.25">
      <c r="B88" s="142"/>
      <c r="C88" s="580"/>
      <c r="D88" s="580"/>
      <c r="E88" s="580"/>
      <c r="F88" s="580"/>
      <c r="G88" s="580"/>
      <c r="H88" s="580"/>
      <c r="I88" s="143"/>
      <c r="J88" s="144"/>
      <c r="K88" s="128"/>
      <c r="L88" s="10"/>
      <c r="M88" s="10"/>
      <c r="N88" s="52">
        <f>SUM(N89)</f>
        <v>0</v>
      </c>
      <c r="O88" s="10" t="e">
        <f>N88/$N$70</f>
        <v>#DIV/0!</v>
      </c>
    </row>
    <row r="89" spans="2:15" ht="12" hidden="1" customHeight="1" x14ac:dyDescent="0.25">
      <c r="B89" s="145"/>
      <c r="C89" s="146"/>
      <c r="D89" s="147"/>
      <c r="E89" s="148"/>
      <c r="F89" s="149"/>
      <c r="G89" s="150"/>
      <c r="H89" s="149"/>
      <c r="I89" s="149"/>
      <c r="J89" s="149"/>
      <c r="K89" s="130"/>
      <c r="L89" s="27"/>
      <c r="M89" s="27"/>
      <c r="N89" s="53">
        <f>ROUND((E89*I89),2)</f>
        <v>0</v>
      </c>
      <c r="O89" s="27">
        <v>0</v>
      </c>
    </row>
    <row r="90" spans="2:15" hidden="1" x14ac:dyDescent="0.25">
      <c r="B90" s="145"/>
      <c r="C90" s="146"/>
      <c r="D90" s="147"/>
      <c r="E90" s="148"/>
      <c r="F90" s="149"/>
      <c r="G90" s="150"/>
      <c r="H90" s="149"/>
      <c r="I90" s="149"/>
      <c r="J90" s="149"/>
      <c r="K90" s="130"/>
      <c r="L90" s="27"/>
      <c r="M90" s="27"/>
      <c r="N90" s="53">
        <f>ROUND((E90*I90),2)</f>
        <v>0</v>
      </c>
      <c r="O90" s="27" t="e">
        <f>N90/N88</f>
        <v>#DIV/0!</v>
      </c>
    </row>
    <row r="91" spans="2:15" hidden="1" x14ac:dyDescent="0.25">
      <c r="B91" s="145"/>
      <c r="C91" s="146"/>
      <c r="D91" s="147"/>
      <c r="E91" s="148"/>
      <c r="F91" s="149"/>
      <c r="G91" s="150"/>
      <c r="H91" s="149"/>
      <c r="I91" s="149"/>
      <c r="J91" s="149"/>
      <c r="K91" s="130"/>
      <c r="L91" s="27"/>
      <c r="M91" s="27"/>
      <c r="N91" s="51"/>
      <c r="O91" s="27">
        <v>0</v>
      </c>
    </row>
    <row r="92" spans="2:15" hidden="1" x14ac:dyDescent="0.25">
      <c r="B92" s="142"/>
      <c r="C92" s="580"/>
      <c r="D92" s="580"/>
      <c r="E92" s="580"/>
      <c r="F92" s="580"/>
      <c r="G92" s="580"/>
      <c r="H92" s="580"/>
      <c r="I92" s="143"/>
      <c r="J92" s="144"/>
      <c r="K92" s="128"/>
      <c r="L92" s="10"/>
      <c r="M92" s="10"/>
      <c r="N92" s="48"/>
      <c r="O92" s="10" t="e">
        <f>N92/$N$70</f>
        <v>#DIV/0!</v>
      </c>
    </row>
    <row r="93" spans="2:15" hidden="1" x14ac:dyDescent="0.25">
      <c r="B93" s="145"/>
      <c r="C93" s="146"/>
      <c r="D93" s="147"/>
      <c r="E93" s="148"/>
      <c r="F93" s="149"/>
      <c r="G93" s="150"/>
      <c r="H93" s="149"/>
      <c r="I93" s="149"/>
      <c r="J93" s="149"/>
      <c r="K93" s="130"/>
      <c r="L93" s="27"/>
      <c r="M93" s="27"/>
      <c r="N93" s="51"/>
      <c r="O93" s="27">
        <v>0</v>
      </c>
    </row>
    <row r="94" spans="2:15" hidden="1" x14ac:dyDescent="0.25">
      <c r="B94" s="142"/>
      <c r="C94" s="580"/>
      <c r="D94" s="580"/>
      <c r="E94" s="580"/>
      <c r="F94" s="580"/>
      <c r="G94" s="580"/>
      <c r="H94" s="580"/>
      <c r="I94" s="143"/>
      <c r="J94" s="144"/>
      <c r="K94" s="128"/>
      <c r="L94" s="10"/>
      <c r="M94" s="10"/>
      <c r="N94" s="52">
        <f>SUM(N95:N96)</f>
        <v>0</v>
      </c>
      <c r="O94" s="10" t="e">
        <f>N94/$N$70</f>
        <v>#DIV/0!</v>
      </c>
    </row>
    <row r="95" spans="2:15" hidden="1" x14ac:dyDescent="0.25">
      <c r="B95" s="145"/>
      <c r="C95" s="146"/>
      <c r="D95" s="147"/>
      <c r="E95" s="148"/>
      <c r="F95" s="149"/>
      <c r="G95" s="150"/>
      <c r="H95" s="149"/>
      <c r="I95" s="149"/>
      <c r="J95" s="149"/>
      <c r="K95" s="130"/>
      <c r="L95" s="27"/>
      <c r="M95" s="27"/>
      <c r="N95" s="53">
        <f>ROUND((E95*I95),2)</f>
        <v>0</v>
      </c>
      <c r="O95" s="27">
        <v>0</v>
      </c>
    </row>
    <row r="96" spans="2:15" hidden="1" x14ac:dyDescent="0.25">
      <c r="B96" s="145"/>
      <c r="C96" s="146"/>
      <c r="D96" s="147"/>
      <c r="E96" s="151"/>
      <c r="F96" s="149"/>
      <c r="G96" s="150"/>
      <c r="H96" s="149"/>
      <c r="I96" s="149"/>
      <c r="J96" s="149"/>
      <c r="K96" s="130"/>
      <c r="L96" s="27"/>
      <c r="M96" s="27"/>
      <c r="N96" s="53">
        <f>ROUND((E96*I96),2)</f>
        <v>0</v>
      </c>
      <c r="O96" s="27">
        <v>0</v>
      </c>
    </row>
    <row r="97" spans="2:15" ht="12" hidden="1" customHeight="1" x14ac:dyDescent="0.25">
      <c r="B97" s="142"/>
      <c r="C97" s="580"/>
      <c r="D97" s="580"/>
      <c r="E97" s="580"/>
      <c r="F97" s="580"/>
      <c r="G97" s="580"/>
      <c r="H97" s="580"/>
      <c r="I97" s="143"/>
      <c r="J97" s="144"/>
      <c r="K97" s="128"/>
      <c r="L97" s="10"/>
      <c r="M97" s="10"/>
      <c r="N97" s="52">
        <f>SUM(N100)</f>
        <v>0</v>
      </c>
      <c r="O97" s="10" t="e">
        <f>N97/$N$70</f>
        <v>#DIV/0!</v>
      </c>
    </row>
    <row r="98" spans="2:15" hidden="1" x14ac:dyDescent="0.25">
      <c r="B98" s="145"/>
      <c r="C98" s="146"/>
      <c r="D98" s="147"/>
      <c r="E98" s="148"/>
      <c r="F98" s="149"/>
      <c r="G98" s="150"/>
      <c r="H98" s="149"/>
      <c r="I98" s="149"/>
      <c r="J98" s="149"/>
      <c r="K98" s="131"/>
      <c r="L98" s="19"/>
      <c r="M98" s="19"/>
      <c r="N98" s="49"/>
      <c r="O98" s="19">
        <v>0</v>
      </c>
    </row>
    <row r="99" spans="2:15" hidden="1" x14ac:dyDescent="0.25">
      <c r="B99" s="145"/>
      <c r="C99" s="146"/>
      <c r="D99" s="147"/>
      <c r="E99" s="148"/>
      <c r="F99" s="149"/>
      <c r="G99" s="150"/>
      <c r="H99" s="149"/>
      <c r="I99" s="149"/>
      <c r="J99" s="149"/>
      <c r="K99" s="131"/>
      <c r="L99" s="19"/>
      <c r="M99" s="19"/>
      <c r="N99" s="53">
        <f>ROUND((E99*I99),2)</f>
        <v>0</v>
      </c>
      <c r="O99" s="19" t="e">
        <f>N99/N97</f>
        <v>#DIV/0!</v>
      </c>
    </row>
    <row r="100" spans="2:15" ht="14.65" hidden="1" customHeight="1" x14ac:dyDescent="0.25">
      <c r="B100" s="145"/>
      <c r="C100" s="146"/>
      <c r="D100" s="147"/>
      <c r="E100" s="148"/>
      <c r="F100" s="149"/>
      <c r="G100" s="150"/>
      <c r="H100" s="149"/>
      <c r="I100" s="149"/>
      <c r="J100" s="149"/>
      <c r="K100" s="131"/>
      <c r="L100" s="19"/>
      <c r="M100" s="19"/>
      <c r="N100" s="53">
        <f>ROUND((E100*I100),2)</f>
        <v>0</v>
      </c>
      <c r="O100" s="19">
        <v>0</v>
      </c>
    </row>
    <row r="101" spans="2:15" ht="15.75" x14ac:dyDescent="0.25">
      <c r="B101" s="593" t="s">
        <v>236</v>
      </c>
      <c r="C101" s="594"/>
      <c r="D101" s="594"/>
      <c r="E101" s="594"/>
      <c r="F101" s="594"/>
      <c r="G101" s="594"/>
      <c r="H101" s="595"/>
      <c r="I101" s="102"/>
      <c r="J101" s="595" t="s">
        <v>19</v>
      </c>
      <c r="K101" s="127"/>
      <c r="L101" s="7"/>
      <c r="M101" s="7"/>
      <c r="N101" s="54" t="e">
        <f>N102+N116+N125+#REF!+#REF!+#REF!+#REF!</f>
        <v>#VALUE!</v>
      </c>
      <c r="O101" s="7" t="e">
        <f>N101/$N$297</f>
        <v>#VALUE!</v>
      </c>
    </row>
    <row r="102" spans="2:15" ht="13.9" customHeight="1" x14ac:dyDescent="0.25">
      <c r="B102" s="596"/>
      <c r="C102" s="597"/>
      <c r="D102" s="597"/>
      <c r="E102" s="597"/>
      <c r="F102" s="597"/>
      <c r="G102" s="597"/>
      <c r="H102" s="598"/>
      <c r="I102" s="103"/>
      <c r="J102" s="598"/>
      <c r="K102" s="128"/>
      <c r="L102" s="10"/>
      <c r="M102" s="10"/>
      <c r="N102" s="52" t="e">
        <f>SUM(N103:N115)</f>
        <v>#VALUE!</v>
      </c>
      <c r="O102" s="10" t="e">
        <f>N102/$N$101</f>
        <v>#VALUE!</v>
      </c>
    </row>
    <row r="103" spans="2:15" ht="30" x14ac:dyDescent="0.25">
      <c r="B103" s="22" t="s">
        <v>46</v>
      </c>
      <c r="C103" s="22" t="s">
        <v>47</v>
      </c>
      <c r="D103" s="95" t="s">
        <v>43</v>
      </c>
      <c r="E103" s="22" t="s">
        <v>5</v>
      </c>
      <c r="F103" s="92" t="s">
        <v>66</v>
      </c>
      <c r="G103" s="22" t="s">
        <v>49</v>
      </c>
      <c r="H103" s="96" t="s">
        <v>8</v>
      </c>
      <c r="I103" s="8"/>
      <c r="J103" s="117" t="s">
        <v>50</v>
      </c>
      <c r="K103" s="128"/>
      <c r="L103" s="10"/>
      <c r="M103" s="10"/>
      <c r="N103" s="52" t="e">
        <f>SUM(N104:N106)</f>
        <v>#VALUE!</v>
      </c>
      <c r="O103" s="10" t="e">
        <f>N103/$N$37</f>
        <v>#VALUE!</v>
      </c>
    </row>
    <row r="104" spans="2:15" x14ac:dyDescent="0.25">
      <c r="B104" s="33" t="s">
        <v>51</v>
      </c>
      <c r="C104" s="119" t="s">
        <v>52</v>
      </c>
      <c r="D104" s="26" t="s">
        <v>53</v>
      </c>
      <c r="E104" s="118" t="s">
        <v>54</v>
      </c>
      <c r="F104" s="122" t="s">
        <v>15</v>
      </c>
      <c r="G104" s="123">
        <v>1</v>
      </c>
      <c r="H104" s="17">
        <v>27.8</v>
      </c>
      <c r="I104" s="17"/>
      <c r="J104" s="17">
        <f>H104*G104</f>
        <v>27.8</v>
      </c>
      <c r="K104" s="87"/>
      <c r="L104" s="27"/>
      <c r="M104" s="27"/>
      <c r="N104" s="53"/>
      <c r="O104" s="27" t="e">
        <f>N104/N103</f>
        <v>#VALUE!</v>
      </c>
    </row>
    <row r="105" spans="2:15" x14ac:dyDescent="0.25">
      <c r="B105" s="33" t="s">
        <v>51</v>
      </c>
      <c r="C105" s="29" t="s">
        <v>52</v>
      </c>
      <c r="D105" s="26" t="s">
        <v>55</v>
      </c>
      <c r="E105" s="118" t="s">
        <v>56</v>
      </c>
      <c r="F105" s="86" t="s">
        <v>15</v>
      </c>
      <c r="G105" s="176">
        <v>1</v>
      </c>
      <c r="H105" s="17">
        <v>22.36</v>
      </c>
      <c r="I105" s="17"/>
      <c r="J105" s="17">
        <f>H105*G105</f>
        <v>22.36</v>
      </c>
      <c r="K105" s="87"/>
      <c r="L105" s="27"/>
      <c r="M105" s="27"/>
      <c r="N105" s="53" t="e">
        <f>ROUND((E105*I105),2)</f>
        <v>#VALUE!</v>
      </c>
      <c r="O105" s="27" t="e">
        <f>N105/N104</f>
        <v>#VALUE!</v>
      </c>
    </row>
    <row r="106" spans="2:15" ht="46.9" customHeight="1" x14ac:dyDescent="0.25">
      <c r="B106" s="33" t="s">
        <v>51</v>
      </c>
      <c r="C106" s="29" t="s">
        <v>58</v>
      </c>
      <c r="D106" s="180" t="s">
        <v>59</v>
      </c>
      <c r="E106" s="179" t="s">
        <v>60</v>
      </c>
      <c r="F106" s="86" t="s">
        <v>12</v>
      </c>
      <c r="G106" s="176">
        <v>1</v>
      </c>
      <c r="H106" s="17">
        <v>1.43</v>
      </c>
      <c r="I106" s="17"/>
      <c r="J106" s="17">
        <f>H106*G106</f>
        <v>1.43</v>
      </c>
      <c r="K106" s="87"/>
      <c r="L106" s="27"/>
      <c r="M106" s="27"/>
      <c r="N106" s="53"/>
      <c r="O106" s="27"/>
    </row>
    <row r="107" spans="2:15" x14ac:dyDescent="0.25">
      <c r="B107" s="33" t="s">
        <v>51</v>
      </c>
      <c r="C107" s="29" t="s">
        <v>58</v>
      </c>
      <c r="D107" s="180" t="s">
        <v>61</v>
      </c>
      <c r="E107" s="179" t="s">
        <v>72</v>
      </c>
      <c r="F107" s="86" t="s">
        <v>12</v>
      </c>
      <c r="G107" s="176">
        <v>2</v>
      </c>
      <c r="H107" s="17">
        <v>6.49</v>
      </c>
      <c r="I107" s="17"/>
      <c r="J107" s="17">
        <f>H107*G107</f>
        <v>12.98</v>
      </c>
      <c r="K107" s="87"/>
      <c r="L107" s="27"/>
      <c r="M107" s="27"/>
      <c r="N107" s="53"/>
      <c r="O107" s="27"/>
    </row>
    <row r="108" spans="2:15" x14ac:dyDescent="0.25">
      <c r="B108" s="33" t="s">
        <v>63</v>
      </c>
      <c r="C108" s="29" t="s">
        <v>58</v>
      </c>
      <c r="D108" s="180" t="s">
        <v>70</v>
      </c>
      <c r="E108" s="179" t="s">
        <v>71</v>
      </c>
      <c r="F108" s="86" t="s">
        <v>12</v>
      </c>
      <c r="G108" s="176">
        <v>1</v>
      </c>
      <c r="H108" s="17">
        <v>10.6</v>
      </c>
      <c r="I108" s="17"/>
      <c r="J108" s="17">
        <f>H108*G108</f>
        <v>10.6</v>
      </c>
      <c r="K108" s="87"/>
      <c r="L108" s="27"/>
      <c r="M108" s="27"/>
      <c r="N108" s="53"/>
      <c r="O108" s="27"/>
    </row>
    <row r="109" spans="2:15" x14ac:dyDescent="0.25">
      <c r="B109" s="207"/>
      <c r="C109" s="208"/>
      <c r="D109" s="207"/>
      <c r="E109" s="209"/>
      <c r="F109" s="207"/>
      <c r="G109" s="207"/>
      <c r="H109" s="184" t="s">
        <v>44</v>
      </c>
      <c r="I109" s="35"/>
      <c r="J109" s="85">
        <f>SUM(J104+J105+J106+J107+J108)</f>
        <v>75.169999999999987</v>
      </c>
      <c r="K109" s="87"/>
      <c r="L109" s="27"/>
      <c r="M109" s="27"/>
      <c r="N109" s="53"/>
      <c r="O109" s="27"/>
    </row>
    <row r="110" spans="2:15" ht="14.65" hidden="1" customHeight="1" x14ac:dyDescent="0.25">
      <c r="B110" s="204"/>
      <c r="C110" s="205"/>
      <c r="D110" s="204"/>
      <c r="E110" s="206"/>
      <c r="F110" s="204"/>
      <c r="G110" s="204"/>
      <c r="H110" s="100"/>
      <c r="I110" s="81"/>
      <c r="J110" s="82"/>
      <c r="K110" s="132"/>
      <c r="L110" s="77"/>
      <c r="M110" s="77"/>
      <c r="N110" s="78"/>
      <c r="O110" s="77"/>
    </row>
    <row r="111" spans="2:15" ht="14.65" hidden="1" customHeight="1" x14ac:dyDescent="0.25">
      <c r="B111" s="33"/>
      <c r="C111" s="25"/>
      <c r="D111" s="26"/>
      <c r="E111" s="118"/>
      <c r="F111" s="86"/>
      <c r="G111" s="126"/>
      <c r="H111" s="121"/>
      <c r="I111" s="17"/>
      <c r="J111" s="17"/>
      <c r="K111" s="87"/>
      <c r="L111" s="27"/>
      <c r="M111" s="27"/>
      <c r="N111" s="53"/>
      <c r="O111" s="27"/>
    </row>
    <row r="112" spans="2:15" ht="14.65" hidden="1" customHeight="1" x14ac:dyDescent="0.25">
      <c r="B112" s="33"/>
      <c r="C112" s="25"/>
      <c r="D112" s="26"/>
      <c r="E112" s="118"/>
      <c r="F112" s="86"/>
      <c r="G112" s="126"/>
      <c r="H112" s="17"/>
      <c r="I112" s="17"/>
      <c r="J112" s="17"/>
      <c r="K112" s="87"/>
      <c r="L112" s="27"/>
      <c r="M112" s="27"/>
      <c r="N112" s="53"/>
      <c r="O112" s="27"/>
    </row>
    <row r="113" spans="2:15" ht="14.65" hidden="1" customHeight="1" x14ac:dyDescent="0.25">
      <c r="B113" s="33"/>
      <c r="C113" s="25"/>
      <c r="D113" s="26"/>
      <c r="E113" s="118"/>
      <c r="F113" s="86"/>
      <c r="G113" s="126"/>
      <c r="H113" s="17"/>
      <c r="I113" s="17"/>
      <c r="J113" s="17"/>
      <c r="K113" s="87"/>
      <c r="L113" s="27"/>
      <c r="M113" s="27"/>
      <c r="N113" s="53"/>
      <c r="O113" s="27"/>
    </row>
    <row r="114" spans="2:15" hidden="1" x14ac:dyDescent="0.25">
      <c r="B114" s="145"/>
      <c r="C114" s="155"/>
      <c r="D114" s="156"/>
      <c r="E114" s="157"/>
      <c r="F114" s="149"/>
      <c r="G114" s="150"/>
      <c r="H114" s="158"/>
      <c r="I114" s="149"/>
      <c r="J114" s="149"/>
      <c r="K114" s="87"/>
      <c r="L114" s="27"/>
      <c r="M114" s="27"/>
      <c r="N114" s="53"/>
      <c r="O114" s="27"/>
    </row>
    <row r="115" spans="2:15" hidden="1" x14ac:dyDescent="0.25">
      <c r="B115" s="233"/>
      <c r="C115" s="226"/>
      <c r="D115" s="227"/>
      <c r="E115" s="228"/>
      <c r="F115" s="229"/>
      <c r="G115" s="230"/>
      <c r="H115" s="231"/>
      <c r="I115" s="229"/>
      <c r="J115" s="229"/>
      <c r="K115" s="87"/>
      <c r="L115" s="27"/>
      <c r="M115" s="27"/>
      <c r="N115" s="53"/>
      <c r="O115" s="27"/>
    </row>
    <row r="116" spans="2:15" x14ac:dyDescent="0.25">
      <c r="B116" s="234"/>
      <c r="C116" s="592"/>
      <c r="D116" s="592"/>
      <c r="E116" s="592"/>
      <c r="F116" s="592"/>
      <c r="G116" s="592"/>
      <c r="H116" s="592"/>
      <c r="I116" s="232"/>
      <c r="J116" s="237"/>
      <c r="K116" s="128"/>
      <c r="L116" s="10"/>
      <c r="M116" s="10"/>
      <c r="N116" s="52" t="e">
        <f>SUM(N117:N124)</f>
        <v>#VALUE!</v>
      </c>
      <c r="O116" s="10" t="e">
        <f>N116/$N$101</f>
        <v>#VALUE!</v>
      </c>
    </row>
    <row r="117" spans="2:15" ht="15.75" x14ac:dyDescent="0.25">
      <c r="B117" s="593" t="s">
        <v>237</v>
      </c>
      <c r="C117" s="594"/>
      <c r="D117" s="594"/>
      <c r="E117" s="594"/>
      <c r="F117" s="594"/>
      <c r="G117" s="594"/>
      <c r="H117" s="595"/>
      <c r="I117" s="236"/>
      <c r="J117" s="595" t="s">
        <v>20</v>
      </c>
      <c r="K117" s="87"/>
      <c r="L117" s="27"/>
      <c r="M117" s="27"/>
      <c r="N117" s="53"/>
      <c r="O117" s="27" t="e">
        <f>N117/N117</f>
        <v>#DIV/0!</v>
      </c>
    </row>
    <row r="118" spans="2:15" ht="15.75" x14ac:dyDescent="0.25">
      <c r="B118" s="596"/>
      <c r="C118" s="597"/>
      <c r="D118" s="597"/>
      <c r="E118" s="597"/>
      <c r="F118" s="597"/>
      <c r="G118" s="597"/>
      <c r="H118" s="598"/>
      <c r="I118" s="103"/>
      <c r="J118" s="598"/>
      <c r="K118" s="87"/>
      <c r="L118" s="27"/>
      <c r="M118" s="27"/>
      <c r="N118" s="51"/>
      <c r="O118" s="79"/>
    </row>
    <row r="119" spans="2:15" ht="30" x14ac:dyDescent="0.25">
      <c r="B119" s="22" t="s">
        <v>46</v>
      </c>
      <c r="C119" s="22" t="s">
        <v>47</v>
      </c>
      <c r="D119" s="95" t="s">
        <v>43</v>
      </c>
      <c r="E119" s="22" t="s">
        <v>5</v>
      </c>
      <c r="F119" s="92" t="s">
        <v>66</v>
      </c>
      <c r="G119" s="22" t="s">
        <v>49</v>
      </c>
      <c r="H119" s="96" t="s">
        <v>8</v>
      </c>
      <c r="I119" s="8"/>
      <c r="J119" s="117" t="s">
        <v>50</v>
      </c>
      <c r="K119" s="128"/>
      <c r="L119" s="10"/>
      <c r="M119" s="10"/>
      <c r="N119" s="52" t="e">
        <f>SUM(N120:N122)</f>
        <v>#VALUE!</v>
      </c>
      <c r="O119" s="10" t="e">
        <f>N119/$N$37</f>
        <v>#VALUE!</v>
      </c>
    </row>
    <row r="120" spans="2:15" x14ac:dyDescent="0.25">
      <c r="B120" s="33" t="s">
        <v>51</v>
      </c>
      <c r="C120" s="119" t="s">
        <v>52</v>
      </c>
      <c r="D120" s="26" t="s">
        <v>73</v>
      </c>
      <c r="E120" s="118" t="s">
        <v>54</v>
      </c>
      <c r="F120" s="122" t="s">
        <v>15</v>
      </c>
      <c r="G120" s="123">
        <v>1</v>
      </c>
      <c r="H120" s="17">
        <v>27.8</v>
      </c>
      <c r="I120" s="17"/>
      <c r="J120" s="17">
        <f>H120*G120</f>
        <v>27.8</v>
      </c>
      <c r="K120" s="87"/>
      <c r="L120" s="27"/>
      <c r="M120" s="27"/>
      <c r="N120" s="53"/>
      <c r="O120" s="27" t="e">
        <f>N120/N119</f>
        <v>#VALUE!</v>
      </c>
    </row>
    <row r="121" spans="2:15" x14ac:dyDescent="0.25">
      <c r="B121" s="33" t="s">
        <v>51</v>
      </c>
      <c r="C121" s="29" t="s">
        <v>52</v>
      </c>
      <c r="D121" s="26" t="s">
        <v>55</v>
      </c>
      <c r="E121" s="118" t="s">
        <v>56</v>
      </c>
      <c r="F121" s="86" t="s">
        <v>15</v>
      </c>
      <c r="G121" s="176">
        <v>1</v>
      </c>
      <c r="H121" s="17">
        <v>22.36</v>
      </c>
      <c r="I121" s="17"/>
      <c r="J121" s="17">
        <f>H121*G121</f>
        <v>22.36</v>
      </c>
      <c r="K121" s="87"/>
      <c r="L121" s="27"/>
      <c r="M121" s="27"/>
      <c r="N121" s="53" t="e">
        <f>ROUND((E121*I121),2)</f>
        <v>#VALUE!</v>
      </c>
      <c r="O121" s="27" t="e">
        <f>N121/N120</f>
        <v>#VALUE!</v>
      </c>
    </row>
    <row r="122" spans="2:15" ht="46.9" customHeight="1" x14ac:dyDescent="0.25">
      <c r="B122" s="33" t="s">
        <v>51</v>
      </c>
      <c r="C122" s="29" t="s">
        <v>58</v>
      </c>
      <c r="D122" s="180" t="s">
        <v>59</v>
      </c>
      <c r="E122" s="179" t="s">
        <v>60</v>
      </c>
      <c r="F122" s="86" t="s">
        <v>12</v>
      </c>
      <c r="G122" s="176">
        <v>1</v>
      </c>
      <c r="H122" s="17">
        <v>1.43</v>
      </c>
      <c r="I122" s="17"/>
      <c r="J122" s="17">
        <f>H122*G122</f>
        <v>1.43</v>
      </c>
      <c r="K122" s="87"/>
      <c r="L122" s="27"/>
      <c r="M122" s="27"/>
      <c r="N122" s="53"/>
      <c r="O122" s="27"/>
    </row>
    <row r="123" spans="2:15" x14ac:dyDescent="0.25">
      <c r="B123" s="172" t="s">
        <v>51</v>
      </c>
      <c r="C123" s="172" t="s">
        <v>58</v>
      </c>
      <c r="D123" s="172" t="s">
        <v>68</v>
      </c>
      <c r="E123" s="35" t="s">
        <v>69</v>
      </c>
      <c r="F123" s="86" t="s">
        <v>12</v>
      </c>
      <c r="G123" s="172" t="s">
        <v>74</v>
      </c>
      <c r="H123" s="17">
        <v>8.4499999999999993</v>
      </c>
      <c r="I123" s="35"/>
      <c r="J123" s="17">
        <f>H123*G123</f>
        <v>16.899999999999999</v>
      </c>
      <c r="K123" s="87"/>
      <c r="L123" s="27"/>
      <c r="M123" s="27"/>
      <c r="N123" s="51"/>
      <c r="O123" s="27"/>
    </row>
    <row r="124" spans="2:15" x14ac:dyDescent="0.25">
      <c r="B124" s="186" t="s">
        <v>63</v>
      </c>
      <c r="C124" s="186" t="s">
        <v>58</v>
      </c>
      <c r="D124" s="186" t="s">
        <v>70</v>
      </c>
      <c r="E124" s="210" t="s">
        <v>71</v>
      </c>
      <c r="F124" s="198" t="s">
        <v>12</v>
      </c>
      <c r="G124" s="186" t="s">
        <v>75</v>
      </c>
      <c r="H124" s="17">
        <v>10.6</v>
      </c>
      <c r="I124" s="185"/>
      <c r="J124" s="17">
        <f>H124*G124</f>
        <v>10.6</v>
      </c>
      <c r="K124" s="87"/>
      <c r="L124" s="27"/>
      <c r="M124" s="27"/>
      <c r="N124" s="51"/>
      <c r="O124" s="27"/>
    </row>
    <row r="125" spans="2:15" x14ac:dyDescent="0.25">
      <c r="B125" s="211"/>
      <c r="C125" s="212"/>
      <c r="D125" s="213"/>
      <c r="E125" s="214"/>
      <c r="F125" s="215"/>
      <c r="G125" s="216"/>
      <c r="H125" s="58" t="s">
        <v>44</v>
      </c>
      <c r="I125" s="235"/>
      <c r="J125" s="239">
        <f>SUM(J120+J121+J122+J123+J124)</f>
        <v>79.089999999999989</v>
      </c>
      <c r="K125" s="128"/>
      <c r="L125" s="10"/>
      <c r="M125" s="10"/>
      <c r="N125" s="52">
        <f>SUM(N126:N127)</f>
        <v>0</v>
      </c>
      <c r="O125" s="10" t="e">
        <f>N125/$N$101</f>
        <v>#VALUE!</v>
      </c>
    </row>
    <row r="126" spans="2:15" x14ac:dyDescent="0.25">
      <c r="B126" s="106"/>
      <c r="C126" s="222"/>
      <c r="D126" s="112"/>
      <c r="E126" s="223"/>
      <c r="F126" s="40"/>
      <c r="G126" s="115"/>
      <c r="H126" s="240"/>
      <c r="I126" s="40"/>
      <c r="J126" s="266"/>
      <c r="K126" s="87"/>
      <c r="L126" s="27"/>
      <c r="M126" s="27"/>
      <c r="N126" s="51"/>
      <c r="O126" s="27"/>
    </row>
    <row r="127" spans="2:15" ht="15.75" x14ac:dyDescent="0.25">
      <c r="B127" s="593" t="s">
        <v>238</v>
      </c>
      <c r="C127" s="594"/>
      <c r="D127" s="594"/>
      <c r="E127" s="594"/>
      <c r="F127" s="594"/>
      <c r="G127" s="594"/>
      <c r="H127" s="595"/>
      <c r="I127" s="236"/>
      <c r="J127" s="599" t="s">
        <v>21</v>
      </c>
      <c r="K127" s="87"/>
      <c r="L127" s="27"/>
      <c r="M127" s="27"/>
      <c r="N127" s="53"/>
      <c r="O127" s="27"/>
    </row>
    <row r="128" spans="2:15" ht="15.75" x14ac:dyDescent="0.25">
      <c r="B128" s="596"/>
      <c r="C128" s="597"/>
      <c r="D128" s="597"/>
      <c r="E128" s="597"/>
      <c r="F128" s="597"/>
      <c r="G128" s="597"/>
      <c r="H128" s="598"/>
      <c r="I128" s="103"/>
      <c r="J128" s="598"/>
      <c r="K128" s="127"/>
      <c r="L128" s="7"/>
      <c r="M128" s="7"/>
      <c r="N128" s="54" t="e">
        <f>N129+#REF!+#REF!+#REF!+#REF!+#REF!+#REF!+#REF!+#REF!+#REF!</f>
        <v>#VALUE!</v>
      </c>
      <c r="O128" s="7" t="e">
        <f>N128/$N$297</f>
        <v>#VALUE!</v>
      </c>
    </row>
    <row r="129" spans="2:15" ht="30" x14ac:dyDescent="0.25">
      <c r="B129" s="22" t="s">
        <v>46</v>
      </c>
      <c r="C129" s="22" t="s">
        <v>47</v>
      </c>
      <c r="D129" s="95" t="s">
        <v>43</v>
      </c>
      <c r="E129" s="22" t="s">
        <v>5</v>
      </c>
      <c r="F129" s="92" t="s">
        <v>66</v>
      </c>
      <c r="G129" s="22" t="s">
        <v>49</v>
      </c>
      <c r="H129" s="96" t="s">
        <v>8</v>
      </c>
      <c r="I129" s="8"/>
      <c r="J129" s="117" t="s">
        <v>50</v>
      </c>
      <c r="K129" s="128"/>
      <c r="L129" s="10"/>
      <c r="M129" s="10"/>
      <c r="N129" s="52" t="e">
        <f>SUM(N130:N132)</f>
        <v>#VALUE!</v>
      </c>
      <c r="O129" s="10" t="e">
        <f>N129/$N$37</f>
        <v>#VALUE!</v>
      </c>
    </row>
    <row r="130" spans="2:15" x14ac:dyDescent="0.25">
      <c r="B130" s="33" t="s">
        <v>51</v>
      </c>
      <c r="C130" s="119" t="s">
        <v>52</v>
      </c>
      <c r="D130" s="26" t="s">
        <v>73</v>
      </c>
      <c r="E130" s="118" t="s">
        <v>54</v>
      </c>
      <c r="F130" s="122" t="s">
        <v>15</v>
      </c>
      <c r="G130" s="123">
        <v>1</v>
      </c>
      <c r="H130" s="17">
        <v>27.8</v>
      </c>
      <c r="I130" s="17"/>
      <c r="J130" s="17">
        <f>H130*G130</f>
        <v>27.8</v>
      </c>
      <c r="K130" s="87"/>
      <c r="L130" s="27"/>
      <c r="M130" s="27"/>
      <c r="N130" s="53"/>
      <c r="O130" s="27" t="e">
        <f>N130/N129</f>
        <v>#VALUE!</v>
      </c>
    </row>
    <row r="131" spans="2:15" x14ac:dyDescent="0.25">
      <c r="B131" s="33" t="s">
        <v>51</v>
      </c>
      <c r="C131" s="29" t="s">
        <v>52</v>
      </c>
      <c r="D131" s="26" t="s">
        <v>55</v>
      </c>
      <c r="E131" s="118" t="s">
        <v>56</v>
      </c>
      <c r="F131" s="86" t="s">
        <v>15</v>
      </c>
      <c r="G131" s="176">
        <v>1</v>
      </c>
      <c r="H131" s="17">
        <v>22.36</v>
      </c>
      <c r="I131" s="17"/>
      <c r="J131" s="17">
        <f t="shared" ref="J131:J136" si="3">H131*G131</f>
        <v>22.36</v>
      </c>
      <c r="K131" s="87"/>
      <c r="L131" s="27"/>
      <c r="M131" s="27"/>
      <c r="N131" s="53" t="e">
        <f>ROUND((E131*I131),2)</f>
        <v>#VALUE!</v>
      </c>
      <c r="O131" s="27" t="e">
        <f>N131/N130</f>
        <v>#VALUE!</v>
      </c>
    </row>
    <row r="132" spans="2:15" ht="46.9" customHeight="1" x14ac:dyDescent="0.25">
      <c r="B132" s="33" t="s">
        <v>51</v>
      </c>
      <c r="C132" s="29" t="s">
        <v>58</v>
      </c>
      <c r="D132" s="180" t="s">
        <v>59</v>
      </c>
      <c r="E132" s="179" t="s">
        <v>60</v>
      </c>
      <c r="F132" s="86" t="s">
        <v>12</v>
      </c>
      <c r="G132" s="176">
        <v>1</v>
      </c>
      <c r="H132" s="17">
        <v>1.43</v>
      </c>
      <c r="I132" s="17"/>
      <c r="J132" s="17">
        <f t="shared" si="3"/>
        <v>1.43</v>
      </c>
      <c r="K132" s="87"/>
      <c r="L132" s="27"/>
      <c r="M132" s="27"/>
      <c r="N132" s="53"/>
      <c r="O132" s="27"/>
    </row>
    <row r="133" spans="2:15" x14ac:dyDescent="0.25">
      <c r="B133" s="172" t="s">
        <v>51</v>
      </c>
      <c r="C133" s="172" t="s">
        <v>58</v>
      </c>
      <c r="D133" s="172" t="s">
        <v>76</v>
      </c>
      <c r="E133" s="35" t="s">
        <v>77</v>
      </c>
      <c r="F133" s="122" t="s">
        <v>12</v>
      </c>
      <c r="G133" s="172" t="s">
        <v>74</v>
      </c>
      <c r="H133" s="17">
        <v>7.38</v>
      </c>
      <c r="I133" s="35"/>
      <c r="J133" s="17">
        <f t="shared" si="3"/>
        <v>14.76</v>
      </c>
      <c r="K133" s="87"/>
      <c r="L133" s="27"/>
      <c r="M133" s="27"/>
      <c r="N133" s="53"/>
      <c r="O133" s="27">
        <v>0</v>
      </c>
    </row>
    <row r="134" spans="2:15" x14ac:dyDescent="0.25">
      <c r="B134" s="172" t="s">
        <v>63</v>
      </c>
      <c r="C134" s="172" t="s">
        <v>58</v>
      </c>
      <c r="D134" s="172" t="s">
        <v>70</v>
      </c>
      <c r="E134" s="35" t="s">
        <v>71</v>
      </c>
      <c r="F134" s="122" t="s">
        <v>12</v>
      </c>
      <c r="G134" s="172" t="s">
        <v>57</v>
      </c>
      <c r="H134" s="17">
        <v>10.6</v>
      </c>
      <c r="I134" s="185"/>
      <c r="J134" s="17">
        <f t="shared" si="3"/>
        <v>10.6</v>
      </c>
      <c r="K134" s="87"/>
      <c r="L134" s="27"/>
      <c r="M134" s="27"/>
      <c r="N134" s="53"/>
      <c r="O134" s="27" t="e">
        <f>N134/$N$129</f>
        <v>#VALUE!</v>
      </c>
    </row>
    <row r="135" spans="2:15" ht="14.65" hidden="1" customHeight="1" x14ac:dyDescent="0.25">
      <c r="B135" s="172"/>
      <c r="C135" s="172" t="s">
        <v>58</v>
      </c>
      <c r="D135" s="173"/>
      <c r="E135" s="183"/>
      <c r="F135" s="122"/>
      <c r="G135" s="126"/>
      <c r="H135" s="17">
        <v>1.43</v>
      </c>
      <c r="I135" s="85"/>
      <c r="J135" s="17">
        <f t="shared" si="3"/>
        <v>0</v>
      </c>
      <c r="K135" s="87"/>
      <c r="L135" s="27"/>
      <c r="M135" s="27"/>
      <c r="N135" s="53"/>
      <c r="O135" s="27"/>
    </row>
    <row r="136" spans="2:15" ht="14.65" hidden="1" customHeight="1" x14ac:dyDescent="0.25">
      <c r="B136" s="186"/>
      <c r="C136" s="186" t="s">
        <v>58</v>
      </c>
      <c r="D136" s="188"/>
      <c r="E136" s="189"/>
      <c r="F136" s="217"/>
      <c r="G136" s="199"/>
      <c r="H136" s="17">
        <v>1.43</v>
      </c>
      <c r="I136" s="85"/>
      <c r="J136" s="17">
        <f t="shared" si="3"/>
        <v>0</v>
      </c>
      <c r="K136" s="87"/>
      <c r="L136" s="27"/>
      <c r="M136" s="27"/>
      <c r="N136" s="53"/>
      <c r="O136" s="27"/>
    </row>
    <row r="137" spans="2:15" x14ac:dyDescent="0.25">
      <c r="B137" s="211"/>
      <c r="C137" s="212"/>
      <c r="D137" s="213"/>
      <c r="E137" s="214"/>
      <c r="F137" s="219"/>
      <c r="G137" s="216"/>
      <c r="H137" s="85" t="s">
        <v>44</v>
      </c>
      <c r="I137" s="85"/>
      <c r="J137" s="85">
        <f>SUM(J130+J131+J132+J133+J134)</f>
        <v>76.949999999999989</v>
      </c>
      <c r="K137" s="133"/>
      <c r="L137" s="34"/>
      <c r="M137" s="34"/>
      <c r="N137" s="55" t="e">
        <f>N138+#REF!+#REF!</f>
        <v>#VALUE!</v>
      </c>
      <c r="O137" s="7" t="e">
        <f>N137/$N$297</f>
        <v>#VALUE!</v>
      </c>
    </row>
    <row r="138" spans="2:15" ht="15.75" thickBot="1" x14ac:dyDescent="0.3">
      <c r="B138" s="218"/>
      <c r="C138" s="600"/>
      <c r="D138" s="600"/>
      <c r="E138" s="600"/>
      <c r="F138" s="600"/>
      <c r="G138" s="600"/>
      <c r="H138" s="580"/>
      <c r="I138" s="143"/>
      <c r="J138" s="144"/>
      <c r="K138" s="128"/>
      <c r="L138" s="10"/>
      <c r="M138" s="10"/>
      <c r="N138" s="52" t="e">
        <f>SUM(N139:N145)</f>
        <v>#VALUE!</v>
      </c>
      <c r="O138" s="10" t="e">
        <f>N138/$N$137</f>
        <v>#VALUE!</v>
      </c>
    </row>
    <row r="139" spans="2:15" ht="15.75" x14ac:dyDescent="0.25">
      <c r="B139" s="593" t="s">
        <v>239</v>
      </c>
      <c r="C139" s="594"/>
      <c r="D139" s="594"/>
      <c r="E139" s="594"/>
      <c r="F139" s="594"/>
      <c r="G139" s="594"/>
      <c r="H139" s="595"/>
      <c r="I139" s="102"/>
      <c r="J139" s="595" t="s">
        <v>22</v>
      </c>
      <c r="K139" s="87"/>
      <c r="L139" s="27"/>
      <c r="M139" s="27"/>
      <c r="N139" s="53"/>
      <c r="O139" s="27" t="e">
        <f>N139/$N$138</f>
        <v>#VALUE!</v>
      </c>
    </row>
    <row r="140" spans="2:15" ht="15.75" x14ac:dyDescent="0.25">
      <c r="B140" s="596"/>
      <c r="C140" s="597"/>
      <c r="D140" s="597"/>
      <c r="E140" s="597"/>
      <c r="F140" s="597"/>
      <c r="G140" s="597"/>
      <c r="H140" s="598"/>
      <c r="I140" s="103"/>
      <c r="J140" s="598"/>
      <c r="K140" s="87"/>
      <c r="L140" s="27"/>
      <c r="M140" s="27"/>
      <c r="N140" s="53"/>
      <c r="O140" s="27"/>
    </row>
    <row r="141" spans="2:15" ht="30" x14ac:dyDescent="0.25">
      <c r="B141" s="22" t="s">
        <v>46</v>
      </c>
      <c r="C141" s="22" t="s">
        <v>47</v>
      </c>
      <c r="D141" s="95" t="s">
        <v>43</v>
      </c>
      <c r="E141" s="22" t="s">
        <v>5</v>
      </c>
      <c r="F141" s="92" t="s">
        <v>66</v>
      </c>
      <c r="G141" s="22" t="s">
        <v>49</v>
      </c>
      <c r="H141" s="96" t="s">
        <v>8</v>
      </c>
      <c r="I141" s="8"/>
      <c r="J141" s="117" t="s">
        <v>50</v>
      </c>
      <c r="K141" s="128"/>
      <c r="L141" s="10"/>
      <c r="M141" s="10"/>
      <c r="N141" s="52" t="e">
        <f>SUM(N142:N144)</f>
        <v>#VALUE!</v>
      </c>
      <c r="O141" s="10" t="e">
        <f>N141/$N$37</f>
        <v>#VALUE!</v>
      </c>
    </row>
    <row r="142" spans="2:15" x14ac:dyDescent="0.25">
      <c r="B142" s="33" t="s">
        <v>51</v>
      </c>
      <c r="C142" s="119" t="s">
        <v>52</v>
      </c>
      <c r="D142" s="26" t="s">
        <v>73</v>
      </c>
      <c r="E142" s="118" t="s">
        <v>54</v>
      </c>
      <c r="F142" s="122" t="s">
        <v>15</v>
      </c>
      <c r="G142" s="123">
        <v>1</v>
      </c>
      <c r="H142" s="17">
        <v>27.8</v>
      </c>
      <c r="I142" s="17"/>
      <c r="J142" s="17">
        <f t="shared" ref="J142:J147" si="4">H142*G142</f>
        <v>27.8</v>
      </c>
      <c r="K142" s="87"/>
      <c r="L142" s="27"/>
      <c r="M142" s="27"/>
      <c r="N142" s="53"/>
      <c r="O142" s="27" t="e">
        <f>N142/N141</f>
        <v>#VALUE!</v>
      </c>
    </row>
    <row r="143" spans="2:15" x14ac:dyDescent="0.25">
      <c r="B143" s="33" t="s">
        <v>51</v>
      </c>
      <c r="C143" s="29" t="s">
        <v>52</v>
      </c>
      <c r="D143" s="26" t="s">
        <v>55</v>
      </c>
      <c r="E143" s="118" t="s">
        <v>56</v>
      </c>
      <c r="F143" s="86" t="s">
        <v>15</v>
      </c>
      <c r="G143" s="176">
        <v>1</v>
      </c>
      <c r="H143" s="17">
        <v>22.36</v>
      </c>
      <c r="I143" s="17"/>
      <c r="J143" s="17">
        <f t="shared" si="4"/>
        <v>22.36</v>
      </c>
      <c r="K143" s="87"/>
      <c r="L143" s="27"/>
      <c r="M143" s="27"/>
      <c r="N143" s="53" t="e">
        <f>ROUND((E143*I143),2)</f>
        <v>#VALUE!</v>
      </c>
      <c r="O143" s="27" t="e">
        <f>N143/N142</f>
        <v>#VALUE!</v>
      </c>
    </row>
    <row r="144" spans="2:15" ht="46.9" customHeight="1" x14ac:dyDescent="0.25">
      <c r="B144" s="33" t="s">
        <v>51</v>
      </c>
      <c r="C144" s="29" t="s">
        <v>58</v>
      </c>
      <c r="D144" s="180" t="s">
        <v>59</v>
      </c>
      <c r="E144" s="179" t="s">
        <v>60</v>
      </c>
      <c r="F144" s="86" t="s">
        <v>12</v>
      </c>
      <c r="G144" s="176">
        <v>1</v>
      </c>
      <c r="H144" s="17">
        <v>1.43</v>
      </c>
      <c r="I144" s="17"/>
      <c r="J144" s="17">
        <f t="shared" si="4"/>
        <v>1.43</v>
      </c>
      <c r="K144" s="87"/>
      <c r="L144" s="27"/>
      <c r="M144" s="27"/>
      <c r="N144" s="53"/>
      <c r="O144" s="27"/>
    </row>
    <row r="145" spans="2:16" ht="14.65" hidden="1" customHeight="1" x14ac:dyDescent="0.25">
      <c r="B145" s="101"/>
      <c r="C145" s="97"/>
      <c r="D145" s="101"/>
      <c r="E145" s="98"/>
      <c r="F145" s="86" t="s">
        <v>12</v>
      </c>
      <c r="G145" s="101"/>
      <c r="H145" s="17">
        <v>1.43</v>
      </c>
      <c r="I145" s="98"/>
      <c r="J145" s="17">
        <f t="shared" si="4"/>
        <v>0</v>
      </c>
      <c r="K145" s="87"/>
      <c r="L145" s="27"/>
      <c r="M145" s="27"/>
      <c r="N145" s="53"/>
      <c r="O145" s="27"/>
    </row>
    <row r="146" spans="2:16" x14ac:dyDescent="0.25">
      <c r="B146" s="172" t="s">
        <v>78</v>
      </c>
      <c r="C146" s="172" t="s">
        <v>58</v>
      </c>
      <c r="D146" s="172" t="s">
        <v>79</v>
      </c>
      <c r="E146" s="35" t="s">
        <v>80</v>
      </c>
      <c r="F146" s="86" t="s">
        <v>12</v>
      </c>
      <c r="G146" s="172" t="s">
        <v>74</v>
      </c>
      <c r="H146" s="17">
        <v>9.4499999999999993</v>
      </c>
      <c r="I146" s="185"/>
      <c r="J146" s="17">
        <f t="shared" si="4"/>
        <v>18.899999999999999</v>
      </c>
      <c r="K146" s="127"/>
      <c r="L146" s="7"/>
      <c r="M146" s="7"/>
      <c r="N146" s="54">
        <f>N147</f>
        <v>0</v>
      </c>
      <c r="O146" s="7" t="e">
        <f>N146/$N$297</f>
        <v>#REF!</v>
      </c>
    </row>
    <row r="147" spans="2:16" x14ac:dyDescent="0.25">
      <c r="B147" s="186" t="s">
        <v>63</v>
      </c>
      <c r="C147" s="187" t="s">
        <v>58</v>
      </c>
      <c r="D147" s="220" t="s">
        <v>81</v>
      </c>
      <c r="E147" s="189" t="s">
        <v>71</v>
      </c>
      <c r="F147" s="198" t="s">
        <v>12</v>
      </c>
      <c r="G147" s="203">
        <v>1</v>
      </c>
      <c r="H147" s="17">
        <v>10.6</v>
      </c>
      <c r="I147" s="85"/>
      <c r="J147" s="17">
        <f t="shared" si="4"/>
        <v>10.6</v>
      </c>
      <c r="K147" s="128"/>
      <c r="L147" s="10"/>
      <c r="M147" s="10"/>
      <c r="N147" s="52">
        <f>SUM(N152:N158)</f>
        <v>0</v>
      </c>
      <c r="O147" s="10" t="e">
        <f>N147/$N$146</f>
        <v>#DIV/0!</v>
      </c>
    </row>
    <row r="148" spans="2:16" x14ac:dyDescent="0.25">
      <c r="B148" s="211"/>
      <c r="C148" s="212"/>
      <c r="D148" s="213"/>
      <c r="E148" s="214"/>
      <c r="F148" s="219"/>
      <c r="G148" s="216"/>
      <c r="H148" s="239" t="s">
        <v>44</v>
      </c>
      <c r="I148" s="235"/>
      <c r="J148" s="235">
        <f>SUM(J142+J143+J144+J146+J147)</f>
        <v>81.089999999999989</v>
      </c>
      <c r="K148" s="87"/>
      <c r="L148" s="27"/>
      <c r="M148" s="27"/>
      <c r="N148" s="51"/>
      <c r="O148" s="27"/>
    </row>
    <row r="149" spans="2:16" x14ac:dyDescent="0.25">
      <c r="B149" s="106"/>
      <c r="C149" s="222"/>
      <c r="D149" s="112"/>
      <c r="E149" s="223"/>
      <c r="F149" s="40"/>
      <c r="G149" s="115"/>
      <c r="H149" s="40"/>
      <c r="I149" s="40"/>
      <c r="J149" s="240"/>
      <c r="K149" s="87"/>
      <c r="L149" s="27"/>
      <c r="M149" s="27"/>
      <c r="N149" s="51"/>
      <c r="O149" s="27"/>
    </row>
    <row r="150" spans="2:16" ht="15.4" customHeight="1" x14ac:dyDescent="0.25">
      <c r="B150" s="593" t="s">
        <v>240</v>
      </c>
      <c r="C150" s="594"/>
      <c r="D150" s="594"/>
      <c r="E150" s="594"/>
      <c r="F150" s="594"/>
      <c r="G150" s="594"/>
      <c r="H150" s="595"/>
      <c r="I150" s="236"/>
      <c r="J150" s="595" t="s">
        <v>23</v>
      </c>
      <c r="K150" s="87"/>
      <c r="L150" s="27"/>
      <c r="M150" s="27"/>
      <c r="N150" s="51"/>
      <c r="O150" s="27"/>
    </row>
    <row r="151" spans="2:16" ht="15.75" x14ac:dyDescent="0.25">
      <c r="B151" s="596"/>
      <c r="C151" s="597"/>
      <c r="D151" s="597"/>
      <c r="E151" s="597"/>
      <c r="F151" s="597"/>
      <c r="G151" s="597"/>
      <c r="H151" s="598"/>
      <c r="I151" s="103"/>
      <c r="J151" s="598"/>
      <c r="K151" s="87"/>
      <c r="L151" s="27"/>
      <c r="M151" s="27"/>
      <c r="N151" s="51"/>
      <c r="O151" s="27"/>
    </row>
    <row r="152" spans="2:16" ht="30" x14ac:dyDescent="0.25">
      <c r="B152" s="22" t="s">
        <v>46</v>
      </c>
      <c r="C152" s="22" t="s">
        <v>47</v>
      </c>
      <c r="D152" s="95" t="s">
        <v>43</v>
      </c>
      <c r="E152" s="22" t="s">
        <v>5</v>
      </c>
      <c r="F152" s="92" t="s">
        <v>66</v>
      </c>
      <c r="G152" s="22" t="s">
        <v>49</v>
      </c>
      <c r="H152" s="96" t="s">
        <v>8</v>
      </c>
      <c r="I152" s="8"/>
      <c r="J152" s="117" t="s">
        <v>50</v>
      </c>
      <c r="K152" s="87"/>
      <c r="L152" s="27"/>
      <c r="M152" s="27"/>
      <c r="N152" s="53"/>
      <c r="O152" s="27" t="e">
        <f>N152/$N$147</f>
        <v>#DIV/0!</v>
      </c>
    </row>
    <row r="153" spans="2:16" ht="14.65" hidden="1" customHeight="1" x14ac:dyDescent="0.25">
      <c r="B153" s="33" t="s">
        <v>51</v>
      </c>
      <c r="C153" s="119" t="s">
        <v>52</v>
      </c>
      <c r="D153" s="120" t="s">
        <v>82</v>
      </c>
      <c r="E153" s="118" t="s">
        <v>54</v>
      </c>
      <c r="F153" s="122" t="s">
        <v>15</v>
      </c>
      <c r="G153" s="123">
        <v>1</v>
      </c>
      <c r="H153" s="17">
        <v>27.8</v>
      </c>
      <c r="I153" s="17"/>
      <c r="J153" s="17">
        <f>H153*G153</f>
        <v>27.8</v>
      </c>
      <c r="K153" s="87"/>
      <c r="L153" s="27"/>
      <c r="M153" s="27"/>
      <c r="N153" s="51"/>
      <c r="O153" s="27"/>
      <c r="P153" t="s">
        <v>11</v>
      </c>
    </row>
    <row r="154" spans="2:16" ht="14.65" hidden="1" customHeight="1" x14ac:dyDescent="0.25">
      <c r="B154" s="33" t="s">
        <v>51</v>
      </c>
      <c r="C154" s="29" t="s">
        <v>52</v>
      </c>
      <c r="D154" s="26" t="s">
        <v>55</v>
      </c>
      <c r="E154" s="118" t="s">
        <v>56</v>
      </c>
      <c r="F154" s="86" t="s">
        <v>15</v>
      </c>
      <c r="G154" s="176">
        <v>1</v>
      </c>
      <c r="H154" s="17">
        <v>22.36</v>
      </c>
      <c r="I154" s="17"/>
      <c r="J154" s="17">
        <f>H154*G154</f>
        <v>22.36</v>
      </c>
      <c r="K154" s="87"/>
      <c r="L154" s="27"/>
      <c r="M154" s="27"/>
      <c r="N154" s="51"/>
      <c r="O154" s="27"/>
      <c r="P154" t="s">
        <v>11</v>
      </c>
    </row>
    <row r="155" spans="2:16" ht="14.65" hidden="1" customHeight="1" x14ac:dyDescent="0.25">
      <c r="B155" s="33" t="s">
        <v>51</v>
      </c>
      <c r="C155" s="29" t="s">
        <v>58</v>
      </c>
      <c r="D155" s="180" t="s">
        <v>59</v>
      </c>
      <c r="E155" s="179" t="s">
        <v>60</v>
      </c>
      <c r="F155" s="86" t="s">
        <v>12</v>
      </c>
      <c r="G155" s="176">
        <v>1</v>
      </c>
      <c r="H155" s="17">
        <v>1.43</v>
      </c>
      <c r="I155" s="17"/>
      <c r="J155" s="17">
        <f>H155*G155</f>
        <v>1.43</v>
      </c>
      <c r="K155" s="87"/>
      <c r="L155" s="27"/>
      <c r="M155" s="27"/>
      <c r="N155" s="53"/>
      <c r="O155" s="27"/>
      <c r="P155" t="s">
        <v>11</v>
      </c>
    </row>
    <row r="156" spans="2:16" ht="14.65" hidden="1" customHeight="1" x14ac:dyDescent="0.25">
      <c r="B156" s="101"/>
      <c r="C156" s="97"/>
      <c r="D156" s="101"/>
      <c r="E156" s="98"/>
      <c r="F156" s="101"/>
      <c r="G156" s="101"/>
      <c r="H156" s="97"/>
      <c r="I156" s="98"/>
      <c r="J156" s="99"/>
      <c r="K156" s="87"/>
      <c r="L156" s="27"/>
      <c r="M156" s="27"/>
      <c r="N156" s="51"/>
      <c r="O156" s="27"/>
      <c r="P156" t="s">
        <v>11</v>
      </c>
    </row>
    <row r="157" spans="2:16" ht="14.65" hidden="1" customHeight="1" x14ac:dyDescent="0.25">
      <c r="B157" s="80"/>
      <c r="C157" s="100"/>
      <c r="D157" s="80"/>
      <c r="E157" s="91"/>
      <c r="F157" s="80"/>
      <c r="G157" s="80"/>
      <c r="H157" s="100"/>
      <c r="I157" s="81"/>
      <c r="J157" s="82"/>
      <c r="K157" s="87"/>
      <c r="L157" s="27"/>
      <c r="M157" s="27"/>
      <c r="N157" s="51"/>
      <c r="O157" s="27"/>
      <c r="P157" t="s">
        <v>11</v>
      </c>
    </row>
    <row r="158" spans="2:16" ht="14.65" hidden="1" customHeight="1" x14ac:dyDescent="0.25">
      <c r="B158" s="33"/>
      <c r="C158" s="25"/>
      <c r="D158" s="26"/>
      <c r="E158" s="118"/>
      <c r="F158" s="86"/>
      <c r="G158" s="126"/>
      <c r="H158" s="121"/>
      <c r="I158" s="17"/>
      <c r="J158" s="17"/>
      <c r="K158" s="87"/>
      <c r="L158" s="27"/>
      <c r="M158" s="27"/>
      <c r="N158" s="53"/>
      <c r="O158" s="27"/>
      <c r="P158" t="s">
        <v>11</v>
      </c>
    </row>
    <row r="159" spans="2:16" ht="14.65" hidden="1" customHeight="1" x14ac:dyDescent="0.25">
      <c r="B159" s="33"/>
      <c r="C159" s="25"/>
      <c r="D159" s="26"/>
      <c r="E159" s="118"/>
      <c r="F159" s="86"/>
      <c r="G159" s="126"/>
      <c r="H159" s="17"/>
      <c r="I159" s="17"/>
      <c r="J159" s="17"/>
      <c r="K159" s="87"/>
      <c r="L159" s="27"/>
      <c r="M159" s="27"/>
      <c r="N159" s="51"/>
      <c r="O159" s="27"/>
      <c r="P159" t="s">
        <v>11</v>
      </c>
    </row>
    <row r="160" spans="2:16" ht="14.65" hidden="1" customHeight="1" x14ac:dyDescent="0.25">
      <c r="B160" s="33"/>
      <c r="C160" s="25"/>
      <c r="D160" s="26"/>
      <c r="E160" s="118"/>
      <c r="F160" s="86"/>
      <c r="G160" s="126"/>
      <c r="H160" s="17"/>
      <c r="I160" s="17"/>
      <c r="J160" s="17"/>
      <c r="K160" s="87"/>
      <c r="L160" s="27"/>
      <c r="M160" s="27"/>
      <c r="N160" s="51"/>
      <c r="O160" s="27"/>
      <c r="P160" t="s">
        <v>11</v>
      </c>
    </row>
    <row r="161" spans="2:16" hidden="1" x14ac:dyDescent="0.25">
      <c r="B161" s="145"/>
      <c r="C161" s="146"/>
      <c r="D161" s="147"/>
      <c r="E161" s="148"/>
      <c r="F161" s="149"/>
      <c r="G161" s="150"/>
      <c r="H161" s="149"/>
      <c r="I161" s="149"/>
      <c r="J161" s="149"/>
      <c r="K161" s="87"/>
      <c r="L161" s="27"/>
      <c r="M161" s="27"/>
      <c r="N161" s="51"/>
      <c r="O161" s="27"/>
    </row>
    <row r="162" spans="2:16" hidden="1" x14ac:dyDescent="0.25">
      <c r="B162" s="145"/>
      <c r="C162" s="146"/>
      <c r="D162" s="147"/>
      <c r="E162" s="148"/>
      <c r="F162" s="149"/>
      <c r="G162" s="150"/>
      <c r="H162" s="149"/>
      <c r="I162" s="149"/>
      <c r="J162" s="149"/>
      <c r="K162" s="87"/>
      <c r="L162" s="27"/>
      <c r="M162" s="27"/>
      <c r="N162" s="51"/>
      <c r="O162" s="27"/>
      <c r="P162" t="s">
        <v>11</v>
      </c>
    </row>
    <row r="163" spans="2:16" hidden="1" x14ac:dyDescent="0.25">
      <c r="B163" s="145"/>
      <c r="C163" s="146"/>
      <c r="D163" s="147"/>
      <c r="E163" s="148"/>
      <c r="F163" s="149"/>
      <c r="G163" s="150"/>
      <c r="H163" s="149"/>
      <c r="I163" s="149"/>
      <c r="J163" s="149"/>
      <c r="K163" s="87"/>
      <c r="L163" s="27"/>
      <c r="M163" s="27"/>
      <c r="N163" s="51"/>
      <c r="O163" s="27"/>
      <c r="P163" t="s">
        <v>11</v>
      </c>
    </row>
    <row r="164" spans="2:16" x14ac:dyDescent="0.25">
      <c r="B164" s="33" t="s">
        <v>51</v>
      </c>
      <c r="C164" s="119" t="s">
        <v>52</v>
      </c>
      <c r="D164" s="26" t="s">
        <v>73</v>
      </c>
      <c r="E164" s="118" t="s">
        <v>54</v>
      </c>
      <c r="F164" s="122" t="s">
        <v>15</v>
      </c>
      <c r="G164" s="123">
        <v>1</v>
      </c>
      <c r="H164" s="17">
        <v>27.8</v>
      </c>
      <c r="I164" s="17"/>
      <c r="J164" s="17">
        <f>H164*G164</f>
        <v>27.8</v>
      </c>
      <c r="K164" s="127"/>
      <c r="L164" s="7"/>
      <c r="M164" s="7"/>
      <c r="N164" s="54">
        <f>N165</f>
        <v>0</v>
      </c>
      <c r="O164" s="7" t="e">
        <f>N164/$N$297</f>
        <v>#REF!</v>
      </c>
    </row>
    <row r="165" spans="2:16" ht="15.4" customHeight="1" x14ac:dyDescent="0.25">
      <c r="B165" s="33" t="s">
        <v>51</v>
      </c>
      <c r="C165" s="29" t="s">
        <v>52</v>
      </c>
      <c r="D165" s="26" t="s">
        <v>55</v>
      </c>
      <c r="E165" s="118" t="s">
        <v>56</v>
      </c>
      <c r="F165" s="86" t="s">
        <v>15</v>
      </c>
      <c r="G165" s="176">
        <v>1</v>
      </c>
      <c r="H165" s="17">
        <v>22.36</v>
      </c>
      <c r="I165" s="17"/>
      <c r="J165" s="17">
        <f>H165*G165</f>
        <v>22.36</v>
      </c>
      <c r="K165" s="128"/>
      <c r="L165" s="10"/>
      <c r="M165" s="10"/>
      <c r="N165" s="48"/>
      <c r="O165" s="10">
        <f>0</f>
        <v>0</v>
      </c>
    </row>
    <row r="166" spans="2:16" ht="42.75" x14ac:dyDescent="0.25">
      <c r="B166" s="33" t="s">
        <v>51</v>
      </c>
      <c r="C166" s="29" t="s">
        <v>58</v>
      </c>
      <c r="D166" s="180" t="s">
        <v>59</v>
      </c>
      <c r="E166" s="179" t="s">
        <v>60</v>
      </c>
      <c r="F166" s="86" t="s">
        <v>12</v>
      </c>
      <c r="G166" s="176">
        <v>1</v>
      </c>
      <c r="H166" s="17">
        <v>1.43</v>
      </c>
      <c r="I166" s="17"/>
      <c r="J166" s="17">
        <f>H166*G166</f>
        <v>1.43</v>
      </c>
      <c r="K166" s="87"/>
      <c r="L166" s="27"/>
      <c r="M166" s="27"/>
      <c r="N166" s="51"/>
      <c r="O166" s="27"/>
    </row>
    <row r="167" spans="2:16" x14ac:dyDescent="0.25">
      <c r="B167" s="172" t="s">
        <v>51</v>
      </c>
      <c r="C167" s="172" t="s">
        <v>58</v>
      </c>
      <c r="D167" s="260" t="s">
        <v>83</v>
      </c>
      <c r="E167" s="35" t="s">
        <v>54</v>
      </c>
      <c r="F167" s="86" t="s">
        <v>12</v>
      </c>
      <c r="G167" s="203">
        <v>1</v>
      </c>
      <c r="H167" s="17">
        <v>5.87</v>
      </c>
      <c r="I167" s="35"/>
      <c r="J167" s="17">
        <f>H167*G167</f>
        <v>5.87</v>
      </c>
      <c r="K167" s="87"/>
      <c r="L167" s="27"/>
      <c r="M167" s="27"/>
      <c r="N167" s="51"/>
      <c r="O167" s="27"/>
    </row>
    <row r="168" spans="2:16" x14ac:dyDescent="0.25">
      <c r="B168" s="194"/>
      <c r="C168" s="194"/>
      <c r="D168" s="211"/>
      <c r="E168" s="261"/>
      <c r="F168" s="181"/>
      <c r="G168" s="262"/>
      <c r="H168" s="17" t="s">
        <v>44</v>
      </c>
      <c r="I168" s="185"/>
      <c r="J168" s="17">
        <f>SUM(J164+J165+J166+J167)</f>
        <v>57.459999999999994</v>
      </c>
      <c r="K168" s="87"/>
      <c r="L168" s="27"/>
      <c r="M168" s="27"/>
      <c r="N168" s="51"/>
      <c r="O168" s="27"/>
    </row>
    <row r="169" spans="2:16" x14ac:dyDescent="0.25">
      <c r="B169" s="106"/>
      <c r="C169" s="222"/>
      <c r="D169" s="112"/>
      <c r="E169" s="223"/>
      <c r="F169" s="40"/>
      <c r="G169" s="115"/>
      <c r="H169" s="267"/>
      <c r="I169" s="149"/>
      <c r="J169" s="268"/>
      <c r="K169" s="87"/>
      <c r="L169" s="27"/>
      <c r="M169" s="27"/>
      <c r="N169" s="51"/>
      <c r="O169" s="27"/>
    </row>
    <row r="170" spans="2:16" x14ac:dyDescent="0.25">
      <c r="B170" s="234"/>
      <c r="C170" s="259"/>
      <c r="D170" s="234"/>
      <c r="E170" s="232"/>
      <c r="F170" s="234"/>
      <c r="G170" s="234"/>
      <c r="H170" s="259"/>
      <c r="I170" s="232"/>
      <c r="J170" s="237"/>
      <c r="K170" s="87"/>
      <c r="L170" s="27"/>
      <c r="M170" s="27"/>
      <c r="N170" s="51"/>
      <c r="O170" s="27"/>
    </row>
    <row r="171" spans="2:16" ht="15.4" customHeight="1" x14ac:dyDescent="0.25">
      <c r="B171" s="593" t="s">
        <v>231</v>
      </c>
      <c r="C171" s="594"/>
      <c r="D171" s="594"/>
      <c r="E171" s="594"/>
      <c r="F171" s="594"/>
      <c r="G171" s="594"/>
      <c r="H171" s="595"/>
      <c r="I171" s="236"/>
      <c r="J171" s="599" t="s">
        <v>84</v>
      </c>
      <c r="K171" s="87"/>
      <c r="L171" s="27"/>
      <c r="M171" s="27"/>
      <c r="N171" s="51"/>
      <c r="O171" s="27"/>
    </row>
    <row r="172" spans="2:16" ht="15.75" x14ac:dyDescent="0.25">
      <c r="B172" s="596"/>
      <c r="C172" s="597"/>
      <c r="D172" s="597"/>
      <c r="E172" s="597"/>
      <c r="F172" s="597"/>
      <c r="G172" s="597"/>
      <c r="H172" s="598"/>
      <c r="I172" s="103"/>
      <c r="J172" s="598"/>
      <c r="K172" s="87"/>
      <c r="L172" s="27"/>
      <c r="M172" s="27"/>
      <c r="N172" s="51"/>
      <c r="O172" s="27"/>
    </row>
    <row r="173" spans="2:16" ht="30" x14ac:dyDescent="0.25">
      <c r="B173" s="22" t="s">
        <v>46</v>
      </c>
      <c r="C173" s="22" t="s">
        <v>47</v>
      </c>
      <c r="D173" s="95" t="s">
        <v>43</v>
      </c>
      <c r="E173" s="22" t="s">
        <v>5</v>
      </c>
      <c r="F173" s="92" t="s">
        <v>66</v>
      </c>
      <c r="G173" s="22" t="s">
        <v>49</v>
      </c>
      <c r="H173" s="96" t="s">
        <v>8</v>
      </c>
      <c r="I173" s="8"/>
      <c r="J173" s="117" t="s">
        <v>50</v>
      </c>
      <c r="K173" s="87"/>
      <c r="L173" s="27"/>
      <c r="M173" s="27"/>
      <c r="N173" s="51"/>
      <c r="O173" s="27"/>
    </row>
    <row r="174" spans="2:16" x14ac:dyDescent="0.25">
      <c r="B174" s="33" t="s">
        <v>51</v>
      </c>
      <c r="C174" s="119" t="s">
        <v>52</v>
      </c>
      <c r="D174" s="26" t="s">
        <v>89</v>
      </c>
      <c r="E174" s="118" t="s">
        <v>91</v>
      </c>
      <c r="F174" s="122" t="s">
        <v>15</v>
      </c>
      <c r="G174" s="123">
        <v>1</v>
      </c>
      <c r="H174" s="17">
        <v>19.760000000000002</v>
      </c>
      <c r="I174" s="17"/>
      <c r="J174" s="17">
        <v>17.77</v>
      </c>
      <c r="K174" s="87"/>
      <c r="L174" s="27"/>
      <c r="M174" s="27"/>
      <c r="N174" s="51"/>
      <c r="O174" s="27"/>
    </row>
    <row r="175" spans="2:16" x14ac:dyDescent="0.25">
      <c r="B175" s="33" t="s">
        <v>51</v>
      </c>
      <c r="C175" s="119" t="s">
        <v>52</v>
      </c>
      <c r="D175" s="26" t="s">
        <v>90</v>
      </c>
      <c r="E175" s="244" t="s">
        <v>92</v>
      </c>
      <c r="F175" s="86" t="s">
        <v>15</v>
      </c>
      <c r="G175" s="176">
        <v>1</v>
      </c>
      <c r="H175" s="17">
        <v>19.72</v>
      </c>
      <c r="I175" s="17"/>
      <c r="J175" s="17">
        <f t="shared" ref="J175:J183" si="5">H175*G175</f>
        <v>19.72</v>
      </c>
      <c r="K175" s="87"/>
      <c r="L175" s="27"/>
      <c r="M175" s="27"/>
      <c r="N175" s="51"/>
      <c r="O175" s="27"/>
    </row>
    <row r="176" spans="2:16" ht="14.65" hidden="1" customHeight="1" x14ac:dyDescent="0.25">
      <c r="B176" s="33"/>
      <c r="C176" s="29"/>
      <c r="D176" s="180"/>
      <c r="E176" s="179"/>
      <c r="F176" s="86"/>
      <c r="G176" s="176"/>
      <c r="H176" s="17"/>
      <c r="I176" s="17"/>
      <c r="J176" s="17">
        <f t="shared" si="5"/>
        <v>0</v>
      </c>
      <c r="K176" s="87"/>
      <c r="L176" s="27"/>
      <c r="M176" s="27"/>
      <c r="N176" s="51"/>
      <c r="O176" s="27"/>
    </row>
    <row r="177" spans="2:15" ht="14.65" hidden="1" customHeight="1" x14ac:dyDescent="0.25">
      <c r="B177" s="172"/>
      <c r="C177" s="172"/>
      <c r="D177" s="172"/>
      <c r="E177" s="35"/>
      <c r="F177" s="86"/>
      <c r="G177" s="172"/>
      <c r="H177" s="17"/>
      <c r="I177" s="35"/>
      <c r="J177" s="17">
        <f t="shared" si="5"/>
        <v>0</v>
      </c>
      <c r="K177" s="87"/>
      <c r="L177" s="27"/>
      <c r="M177" s="27"/>
      <c r="N177" s="51"/>
      <c r="O177" s="27"/>
    </row>
    <row r="178" spans="2:15" x14ac:dyDescent="0.25">
      <c r="B178" s="172" t="s">
        <v>51</v>
      </c>
      <c r="C178" s="172" t="s">
        <v>58</v>
      </c>
      <c r="D178" s="175" t="s">
        <v>87</v>
      </c>
      <c r="E178" s="35" t="s">
        <v>88</v>
      </c>
      <c r="F178" s="86" t="s">
        <v>13</v>
      </c>
      <c r="G178" s="172" t="s">
        <v>57</v>
      </c>
      <c r="H178" s="17">
        <v>186.59</v>
      </c>
      <c r="I178" s="185"/>
      <c r="J178" s="17">
        <f t="shared" si="5"/>
        <v>186.59</v>
      </c>
      <c r="K178" s="128"/>
      <c r="L178" s="10"/>
      <c r="M178" s="10"/>
      <c r="N178" s="52" t="e">
        <f>SUM(N179)</f>
        <v>#VALUE!</v>
      </c>
      <c r="O178" s="10" t="e">
        <f>N178/N178</f>
        <v>#VALUE!</v>
      </c>
    </row>
    <row r="179" spans="2:15" ht="42.75" x14ac:dyDescent="0.25">
      <c r="B179" s="172" t="s">
        <v>51</v>
      </c>
      <c r="C179" s="174" t="s">
        <v>58</v>
      </c>
      <c r="D179" s="177" t="s">
        <v>94</v>
      </c>
      <c r="E179" s="245" t="s">
        <v>93</v>
      </c>
      <c r="F179" s="86" t="s">
        <v>14</v>
      </c>
      <c r="G179" s="176">
        <v>2.4</v>
      </c>
      <c r="H179" s="17">
        <v>21.47</v>
      </c>
      <c r="I179" s="85"/>
      <c r="J179" s="17">
        <f t="shared" si="5"/>
        <v>51.527999999999999</v>
      </c>
      <c r="K179" s="87"/>
      <c r="L179" s="27"/>
      <c r="M179" s="27"/>
      <c r="N179" s="53" t="e">
        <f>ROUND((E179*I179),2)</f>
        <v>#VALUE!</v>
      </c>
      <c r="O179" s="27" t="e">
        <f>N179/#REF!</f>
        <v>#VALUE!</v>
      </c>
    </row>
    <row r="180" spans="2:15" ht="42.75" x14ac:dyDescent="0.25">
      <c r="B180" s="172" t="s">
        <v>51</v>
      </c>
      <c r="C180" s="174" t="s">
        <v>58</v>
      </c>
      <c r="D180" s="246" t="s">
        <v>96</v>
      </c>
      <c r="E180" s="245" t="s">
        <v>95</v>
      </c>
      <c r="F180" s="86" t="s">
        <v>97</v>
      </c>
      <c r="G180" s="247" t="s">
        <v>98</v>
      </c>
      <c r="H180" s="17">
        <v>48.03</v>
      </c>
      <c r="I180" s="85"/>
      <c r="J180" s="17">
        <f t="shared" si="5"/>
        <v>53.025120000000008</v>
      </c>
      <c r="K180" s="87"/>
      <c r="L180" s="27"/>
      <c r="M180" s="27"/>
      <c r="N180" s="53"/>
      <c r="O180" s="27"/>
    </row>
    <row r="181" spans="2:15" x14ac:dyDescent="0.25">
      <c r="B181" s="172" t="s">
        <v>51</v>
      </c>
      <c r="C181" s="174" t="s">
        <v>58</v>
      </c>
      <c r="D181" s="246" t="s">
        <v>100</v>
      </c>
      <c r="E181" s="183" t="s">
        <v>99</v>
      </c>
      <c r="F181" s="248" t="s">
        <v>12</v>
      </c>
      <c r="G181" s="203">
        <v>1</v>
      </c>
      <c r="H181" s="17">
        <v>19.52</v>
      </c>
      <c r="I181" s="85"/>
      <c r="J181" s="17">
        <f t="shared" si="5"/>
        <v>19.52</v>
      </c>
      <c r="K181" s="87"/>
      <c r="L181" s="27"/>
      <c r="M181" s="27"/>
      <c r="N181" s="53"/>
      <c r="O181" s="27"/>
    </row>
    <row r="182" spans="2:15" x14ac:dyDescent="0.25">
      <c r="B182" s="172" t="s">
        <v>51</v>
      </c>
      <c r="C182" s="174" t="s">
        <v>58</v>
      </c>
      <c r="D182" s="177" t="s">
        <v>102</v>
      </c>
      <c r="E182" s="118" t="s">
        <v>101</v>
      </c>
      <c r="F182" s="248" t="s">
        <v>14</v>
      </c>
      <c r="G182" s="176">
        <v>1.44</v>
      </c>
      <c r="H182" s="87">
        <v>18.57</v>
      </c>
      <c r="I182" s="85"/>
      <c r="J182" s="17">
        <v>18.57</v>
      </c>
      <c r="K182" s="87"/>
      <c r="L182" s="27"/>
      <c r="M182" s="27"/>
      <c r="N182" s="53"/>
      <c r="O182" s="27"/>
    </row>
    <row r="183" spans="2:15" ht="45.4" customHeight="1" x14ac:dyDescent="0.25">
      <c r="B183" s="172" t="s">
        <v>51</v>
      </c>
      <c r="C183" s="174" t="s">
        <v>58</v>
      </c>
      <c r="D183" s="177" t="s">
        <v>105</v>
      </c>
      <c r="E183" s="245" t="s">
        <v>104</v>
      </c>
      <c r="F183" s="248" t="s">
        <v>103</v>
      </c>
      <c r="G183" s="176">
        <v>1</v>
      </c>
      <c r="H183" s="87">
        <v>72.069999999999993</v>
      </c>
      <c r="I183" s="85"/>
      <c r="J183" s="17">
        <f t="shared" si="5"/>
        <v>72.069999999999993</v>
      </c>
      <c r="K183" s="87"/>
      <c r="L183" s="27"/>
      <c r="M183" s="27"/>
      <c r="N183" s="53"/>
      <c r="O183" s="27"/>
    </row>
    <row r="184" spans="2:15" x14ac:dyDescent="0.25">
      <c r="B184" s="194"/>
      <c r="C184" s="195"/>
      <c r="D184" s="196"/>
      <c r="E184" s="197"/>
      <c r="F184" s="181"/>
      <c r="G184" s="253"/>
      <c r="H184" s="254" t="s">
        <v>44</v>
      </c>
      <c r="I184" s="235"/>
      <c r="J184" s="17">
        <f>SUM(J174+J175+J177+J178+J179+J180+J181+J182+J183)</f>
        <v>438.79311999999999</v>
      </c>
      <c r="K184" s="87"/>
      <c r="L184" s="27"/>
      <c r="M184" s="27"/>
      <c r="N184" s="53"/>
      <c r="O184" s="27"/>
    </row>
    <row r="185" spans="2:15" ht="16.149999999999999" customHeight="1" x14ac:dyDescent="0.25">
      <c r="B185" s="106"/>
      <c r="C185" s="255"/>
      <c r="D185" s="256"/>
      <c r="E185" s="257"/>
      <c r="F185" s="258"/>
      <c r="G185" s="115"/>
      <c r="H185" s="263"/>
      <c r="I185" s="255"/>
      <c r="J185" s="40"/>
      <c r="K185" s="87"/>
      <c r="L185" s="27"/>
      <c r="M185" s="27"/>
      <c r="N185" s="53"/>
      <c r="O185" s="27"/>
    </row>
    <row r="186" spans="2:15" ht="37.5" customHeight="1" x14ac:dyDescent="0.25">
      <c r="B186" s="593" t="s">
        <v>232</v>
      </c>
      <c r="C186" s="594"/>
      <c r="D186" s="594"/>
      <c r="E186" s="594"/>
      <c r="F186" s="594"/>
      <c r="G186" s="594"/>
      <c r="H186" s="595"/>
      <c r="I186" s="236"/>
      <c r="J186" s="595" t="s">
        <v>107</v>
      </c>
      <c r="K186" s="87"/>
      <c r="L186" s="27"/>
      <c r="M186" s="27"/>
      <c r="N186" s="53"/>
      <c r="O186" s="27"/>
    </row>
    <row r="187" spans="2:15" ht="37.5" customHeight="1" x14ac:dyDescent="0.25">
      <c r="B187" s="596"/>
      <c r="C187" s="597"/>
      <c r="D187" s="597"/>
      <c r="E187" s="597"/>
      <c r="F187" s="597"/>
      <c r="G187" s="597"/>
      <c r="H187" s="598"/>
      <c r="I187" s="103"/>
      <c r="J187" s="598"/>
      <c r="K187" s="87"/>
      <c r="L187" s="27"/>
      <c r="M187" s="27"/>
      <c r="N187" s="53"/>
      <c r="O187" s="27"/>
    </row>
    <row r="188" spans="2:15" ht="30" x14ac:dyDescent="0.25">
      <c r="B188" s="22" t="s">
        <v>46</v>
      </c>
      <c r="C188" s="22" t="s">
        <v>47</v>
      </c>
      <c r="D188" s="95" t="s">
        <v>43</v>
      </c>
      <c r="E188" s="22" t="s">
        <v>5</v>
      </c>
      <c r="F188" s="92" t="s">
        <v>66</v>
      </c>
      <c r="G188" s="22" t="s">
        <v>49</v>
      </c>
      <c r="H188" s="96" t="s">
        <v>8</v>
      </c>
      <c r="I188" s="8"/>
      <c r="J188" s="117" t="s">
        <v>50</v>
      </c>
      <c r="K188" s="87"/>
      <c r="L188" s="27"/>
      <c r="M188" s="27"/>
      <c r="N188" s="53"/>
      <c r="O188" s="27"/>
    </row>
    <row r="189" spans="2:15" x14ac:dyDescent="0.25">
      <c r="B189" s="33" t="s">
        <v>51</v>
      </c>
      <c r="C189" s="119" t="s">
        <v>52</v>
      </c>
      <c r="D189" s="26" t="s">
        <v>110</v>
      </c>
      <c r="E189" s="118" t="s">
        <v>106</v>
      </c>
      <c r="F189" s="122" t="s">
        <v>109</v>
      </c>
      <c r="G189" s="249" t="s">
        <v>108</v>
      </c>
      <c r="H189" s="17">
        <v>0.17</v>
      </c>
      <c r="I189" s="17"/>
      <c r="J189" s="17">
        <v>0.15</v>
      </c>
      <c r="K189" s="87"/>
      <c r="L189" s="27"/>
      <c r="M189" s="27"/>
      <c r="N189" s="53"/>
      <c r="O189" s="27"/>
    </row>
    <row r="190" spans="2:15" ht="14.65" customHeight="1" x14ac:dyDescent="0.25">
      <c r="B190" s="33" t="s">
        <v>51</v>
      </c>
      <c r="C190" s="29" t="s">
        <v>52</v>
      </c>
      <c r="D190" s="26" t="s">
        <v>89</v>
      </c>
      <c r="E190" s="118" t="s">
        <v>91</v>
      </c>
      <c r="F190" s="86" t="s">
        <v>109</v>
      </c>
      <c r="G190" s="176" t="s">
        <v>112</v>
      </c>
      <c r="H190" s="17">
        <v>8.27</v>
      </c>
      <c r="I190" s="17"/>
      <c r="J190" s="17">
        <v>0.15</v>
      </c>
      <c r="K190" s="128"/>
      <c r="L190" s="10"/>
      <c r="M190" s="10"/>
      <c r="N190" s="52">
        <f>SUM(N191)</f>
        <v>0</v>
      </c>
      <c r="O190" s="10" t="e">
        <f>N190/N190</f>
        <v>#DIV/0!</v>
      </c>
    </row>
    <row r="191" spans="2:15" ht="42.75" x14ac:dyDescent="0.25">
      <c r="B191" s="33" t="s">
        <v>51</v>
      </c>
      <c r="C191" s="29" t="s">
        <v>52</v>
      </c>
      <c r="D191" s="180" t="s">
        <v>114</v>
      </c>
      <c r="E191" s="179" t="s">
        <v>111</v>
      </c>
      <c r="F191" s="86" t="s">
        <v>113</v>
      </c>
      <c r="G191" s="176">
        <v>1</v>
      </c>
      <c r="H191" s="17">
        <v>37.270000000000003</v>
      </c>
      <c r="I191" s="17"/>
      <c r="J191" s="17">
        <f>H191*G191</f>
        <v>37.270000000000003</v>
      </c>
      <c r="K191" s="87"/>
      <c r="L191" s="27"/>
      <c r="M191" s="27"/>
      <c r="N191" s="53"/>
      <c r="O191" s="27"/>
    </row>
    <row r="192" spans="2:15" ht="28.5" x14ac:dyDescent="0.25">
      <c r="B192" s="202" t="s">
        <v>51</v>
      </c>
      <c r="C192" s="202" t="s">
        <v>58</v>
      </c>
      <c r="D192" s="250" t="s">
        <v>115</v>
      </c>
      <c r="E192" s="179" t="s">
        <v>85</v>
      </c>
      <c r="F192" s="198" t="s">
        <v>86</v>
      </c>
      <c r="G192" s="203">
        <v>1</v>
      </c>
      <c r="H192" s="17">
        <v>107.02</v>
      </c>
      <c r="I192" s="17"/>
      <c r="J192" s="17">
        <f>H192*G192</f>
        <v>107.02</v>
      </c>
      <c r="K192" s="87"/>
      <c r="L192" s="27"/>
      <c r="M192" s="27"/>
      <c r="N192" s="53"/>
      <c r="O192" s="27"/>
    </row>
    <row r="193" spans="2:15" x14ac:dyDescent="0.25">
      <c r="B193" s="251"/>
      <c r="C193" s="251"/>
      <c r="D193" s="252"/>
      <c r="E193" s="209"/>
      <c r="F193" s="252"/>
      <c r="G193" s="252"/>
      <c r="H193" s="243" t="s">
        <v>44</v>
      </c>
      <c r="I193" s="242"/>
      <c r="J193" s="58">
        <v>152.72999999999999</v>
      </c>
      <c r="K193" s="87"/>
      <c r="L193" s="27"/>
      <c r="M193" s="27"/>
      <c r="N193" s="53"/>
      <c r="O193" s="27"/>
    </row>
    <row r="194" spans="2:15" x14ac:dyDescent="0.25">
      <c r="B194" s="106"/>
      <c r="C194" s="222"/>
      <c r="D194" s="112"/>
      <c r="E194" s="223"/>
      <c r="F194" s="40"/>
      <c r="G194" s="115"/>
      <c r="H194" s="40"/>
      <c r="I194" s="40"/>
      <c r="J194" s="263"/>
      <c r="K194" s="87"/>
      <c r="L194" s="27"/>
      <c r="M194" s="27"/>
      <c r="N194" s="53"/>
      <c r="O194" s="27"/>
    </row>
    <row r="195" spans="2:15" ht="15.75" x14ac:dyDescent="0.25">
      <c r="B195" s="593" t="s">
        <v>241</v>
      </c>
      <c r="C195" s="594"/>
      <c r="D195" s="594"/>
      <c r="E195" s="594"/>
      <c r="F195" s="594"/>
      <c r="G195" s="594"/>
      <c r="H195" s="595"/>
      <c r="I195" s="236"/>
      <c r="J195" s="595" t="s">
        <v>116</v>
      </c>
      <c r="K195" s="87"/>
      <c r="L195" s="27"/>
      <c r="M195" s="27"/>
      <c r="N195" s="53"/>
      <c r="O195" s="27"/>
    </row>
    <row r="196" spans="2:15" ht="15.75" x14ac:dyDescent="0.25">
      <c r="B196" s="596"/>
      <c r="C196" s="597"/>
      <c r="D196" s="597"/>
      <c r="E196" s="597"/>
      <c r="F196" s="597"/>
      <c r="G196" s="597"/>
      <c r="H196" s="598"/>
      <c r="I196" s="103"/>
      <c r="J196" s="598"/>
      <c r="K196" s="87"/>
      <c r="L196" s="27"/>
      <c r="M196" s="27"/>
      <c r="N196" s="53"/>
      <c r="O196" s="27"/>
    </row>
    <row r="197" spans="2:15" ht="30" x14ac:dyDescent="0.25">
      <c r="B197" s="22" t="s">
        <v>46</v>
      </c>
      <c r="C197" s="22" t="s">
        <v>47</v>
      </c>
      <c r="D197" s="95" t="s">
        <v>43</v>
      </c>
      <c r="E197" s="22" t="s">
        <v>5</v>
      </c>
      <c r="F197" s="92" t="s">
        <v>66</v>
      </c>
      <c r="G197" s="22" t="s">
        <v>49</v>
      </c>
      <c r="H197" s="96" t="s">
        <v>8</v>
      </c>
      <c r="I197" s="8"/>
      <c r="J197" s="117" t="s">
        <v>50</v>
      </c>
      <c r="K197" s="87"/>
      <c r="L197" s="27"/>
      <c r="M197" s="27"/>
      <c r="N197" s="53"/>
      <c r="O197" s="27"/>
    </row>
    <row r="198" spans="2:15" ht="42.75" x14ac:dyDescent="0.25">
      <c r="B198" s="33" t="s">
        <v>117</v>
      </c>
      <c r="C198" s="119" t="s">
        <v>52</v>
      </c>
      <c r="D198" s="26" t="s">
        <v>118</v>
      </c>
      <c r="E198" s="179" t="s">
        <v>119</v>
      </c>
      <c r="F198" s="122" t="s">
        <v>6</v>
      </c>
      <c r="G198" s="123">
        <v>3</v>
      </c>
      <c r="H198" s="17">
        <v>54.46</v>
      </c>
      <c r="I198" s="17"/>
      <c r="J198" s="17">
        <f t="shared" ref="J198:J236" si="6">G198*H198</f>
        <v>163.38</v>
      </c>
      <c r="K198" s="87"/>
      <c r="L198" s="27"/>
      <c r="M198" s="27"/>
      <c r="N198" s="53"/>
      <c r="O198" s="27"/>
    </row>
    <row r="199" spans="2:15" ht="43.5" x14ac:dyDescent="0.25">
      <c r="B199" s="33" t="s">
        <v>117</v>
      </c>
      <c r="C199" s="119" t="s">
        <v>52</v>
      </c>
      <c r="D199" s="26" t="s">
        <v>121</v>
      </c>
      <c r="E199" s="269" t="s">
        <v>120</v>
      </c>
      <c r="F199" s="122" t="s">
        <v>6</v>
      </c>
      <c r="G199" s="176">
        <v>2</v>
      </c>
      <c r="H199" s="17">
        <v>194.49</v>
      </c>
      <c r="I199" s="17"/>
      <c r="J199" s="17">
        <f t="shared" si="6"/>
        <v>388.98</v>
      </c>
      <c r="K199" s="87"/>
      <c r="L199" s="27"/>
      <c r="M199" s="27"/>
      <c r="N199" s="53"/>
      <c r="O199" s="27"/>
    </row>
    <row r="200" spans="2:15" x14ac:dyDescent="0.25">
      <c r="B200" s="33" t="s">
        <v>51</v>
      </c>
      <c r="C200" s="29" t="s">
        <v>52</v>
      </c>
      <c r="D200" s="180" t="s">
        <v>55</v>
      </c>
      <c r="E200" s="179" t="s">
        <v>56</v>
      </c>
      <c r="F200" s="86" t="s">
        <v>109</v>
      </c>
      <c r="G200" s="176">
        <v>40</v>
      </c>
      <c r="H200" s="17">
        <v>22.36</v>
      </c>
      <c r="I200" s="17"/>
      <c r="J200" s="17">
        <f t="shared" si="6"/>
        <v>894.4</v>
      </c>
      <c r="K200" s="87"/>
      <c r="L200" s="27"/>
      <c r="M200" s="27"/>
      <c r="N200" s="53"/>
      <c r="O200" s="27"/>
    </row>
    <row r="201" spans="2:15" x14ac:dyDescent="0.25">
      <c r="B201" s="172" t="s">
        <v>51</v>
      </c>
      <c r="C201" s="172" t="s">
        <v>52</v>
      </c>
      <c r="D201" s="172" t="s">
        <v>73</v>
      </c>
      <c r="E201" s="35" t="s">
        <v>54</v>
      </c>
      <c r="F201" s="86" t="s">
        <v>109</v>
      </c>
      <c r="G201" s="172" t="s">
        <v>122</v>
      </c>
      <c r="H201" s="17">
        <v>27.8</v>
      </c>
      <c r="I201" s="35"/>
      <c r="J201" s="17">
        <f t="shared" si="6"/>
        <v>1112</v>
      </c>
      <c r="K201" s="87"/>
      <c r="L201" s="27"/>
      <c r="M201" s="27"/>
      <c r="N201" s="53"/>
      <c r="O201" s="27"/>
    </row>
    <row r="202" spans="2:15" ht="28.5" x14ac:dyDescent="0.25">
      <c r="B202" s="172" t="s">
        <v>51</v>
      </c>
      <c r="C202" s="172" t="s">
        <v>58</v>
      </c>
      <c r="D202" s="175" t="s">
        <v>124</v>
      </c>
      <c r="E202" s="35" t="s">
        <v>123</v>
      </c>
      <c r="F202" s="86" t="s">
        <v>86</v>
      </c>
      <c r="G202" s="172" t="s">
        <v>125</v>
      </c>
      <c r="H202" s="17">
        <v>35.33</v>
      </c>
      <c r="I202" s="185"/>
      <c r="J202" s="17">
        <f t="shared" si="6"/>
        <v>635.93999999999994</v>
      </c>
      <c r="K202" s="87"/>
      <c r="L202" s="27"/>
      <c r="M202" s="27"/>
      <c r="N202" s="53"/>
      <c r="O202" s="27"/>
    </row>
    <row r="203" spans="2:15" ht="28.5" x14ac:dyDescent="0.25">
      <c r="B203" s="172" t="s">
        <v>117</v>
      </c>
      <c r="C203" s="174" t="s">
        <v>58</v>
      </c>
      <c r="D203" s="175" t="s">
        <v>127</v>
      </c>
      <c r="E203" s="245" t="s">
        <v>126</v>
      </c>
      <c r="F203" s="86" t="s">
        <v>86</v>
      </c>
      <c r="G203" s="176">
        <v>9</v>
      </c>
      <c r="H203" s="17">
        <v>14.27</v>
      </c>
      <c r="I203" s="85"/>
      <c r="J203" s="17">
        <f t="shared" si="6"/>
        <v>128.43</v>
      </c>
      <c r="K203" s="87"/>
      <c r="L203" s="27"/>
      <c r="M203" s="27"/>
      <c r="N203" s="53"/>
      <c r="O203" s="27"/>
    </row>
    <row r="204" spans="2:15" ht="42.75" x14ac:dyDescent="0.25">
      <c r="B204" s="172" t="s">
        <v>51</v>
      </c>
      <c r="C204" s="174" t="s">
        <v>58</v>
      </c>
      <c r="D204" s="246" t="s">
        <v>129</v>
      </c>
      <c r="E204" s="245" t="s">
        <v>128</v>
      </c>
      <c r="F204" s="86" t="s">
        <v>86</v>
      </c>
      <c r="G204" s="247">
        <v>7</v>
      </c>
      <c r="H204" s="17">
        <v>18.559999999999999</v>
      </c>
      <c r="I204" s="85"/>
      <c r="J204" s="17">
        <f t="shared" si="6"/>
        <v>129.91999999999999</v>
      </c>
      <c r="K204" s="87"/>
      <c r="L204" s="27"/>
      <c r="M204" s="27"/>
      <c r="N204" s="53"/>
      <c r="O204" s="27"/>
    </row>
    <row r="205" spans="2:15" ht="42.75" x14ac:dyDescent="0.25">
      <c r="B205" s="172" t="s">
        <v>51</v>
      </c>
      <c r="C205" s="174" t="s">
        <v>58</v>
      </c>
      <c r="D205" s="246" t="s">
        <v>131</v>
      </c>
      <c r="E205" s="245" t="s">
        <v>130</v>
      </c>
      <c r="F205" s="248" t="s">
        <v>86</v>
      </c>
      <c r="G205" s="203">
        <v>100</v>
      </c>
      <c r="H205" s="17">
        <v>74.14</v>
      </c>
      <c r="I205" s="85"/>
      <c r="J205" s="17">
        <f t="shared" si="6"/>
        <v>7414</v>
      </c>
      <c r="K205" s="87"/>
      <c r="L205" s="27"/>
      <c r="M205" s="27"/>
      <c r="N205" s="53"/>
      <c r="O205" s="27"/>
    </row>
    <row r="206" spans="2:15" ht="57" x14ac:dyDescent="0.25">
      <c r="B206" s="172" t="s">
        <v>117</v>
      </c>
      <c r="C206" s="174" t="s">
        <v>58</v>
      </c>
      <c r="D206" s="175" t="s">
        <v>133</v>
      </c>
      <c r="E206" s="179" t="s">
        <v>132</v>
      </c>
      <c r="F206" s="248" t="s">
        <v>6</v>
      </c>
      <c r="G206" s="176">
        <v>2</v>
      </c>
      <c r="H206" s="87">
        <v>228.01</v>
      </c>
      <c r="I206" s="85"/>
      <c r="J206" s="17">
        <f t="shared" si="6"/>
        <v>456.02</v>
      </c>
      <c r="K206" s="87"/>
      <c r="L206" s="27"/>
      <c r="M206" s="27"/>
      <c r="N206" s="53"/>
      <c r="O206" s="27"/>
    </row>
    <row r="207" spans="2:15" ht="57" x14ac:dyDescent="0.25">
      <c r="B207" s="172" t="s">
        <v>117</v>
      </c>
      <c r="C207" s="174" t="s">
        <v>58</v>
      </c>
      <c r="D207" s="175" t="s">
        <v>135</v>
      </c>
      <c r="E207" s="245" t="s">
        <v>134</v>
      </c>
      <c r="F207" s="248" t="s">
        <v>86</v>
      </c>
      <c r="G207" s="176">
        <v>6</v>
      </c>
      <c r="H207" s="87">
        <v>44.38</v>
      </c>
      <c r="I207" s="85"/>
      <c r="J207" s="17">
        <f t="shared" si="6"/>
        <v>266.28000000000003</v>
      </c>
      <c r="K207" s="128"/>
      <c r="L207" s="10"/>
      <c r="M207" s="10"/>
      <c r="N207" s="52">
        <f>SUM(N209)</f>
        <v>0</v>
      </c>
      <c r="O207" s="10" t="e">
        <f>N207/N207</f>
        <v>#DIV/0!</v>
      </c>
    </row>
    <row r="208" spans="2:15" ht="28.5" x14ac:dyDescent="0.25">
      <c r="B208" s="33" t="s">
        <v>51</v>
      </c>
      <c r="C208" s="119" t="s">
        <v>58</v>
      </c>
      <c r="D208" s="26" t="s">
        <v>137</v>
      </c>
      <c r="E208" s="179" t="s">
        <v>136</v>
      </c>
      <c r="F208" s="122" t="s">
        <v>6</v>
      </c>
      <c r="G208" s="123">
        <v>2</v>
      </c>
      <c r="H208" s="17">
        <v>9.99</v>
      </c>
      <c r="I208" s="17"/>
      <c r="J208" s="17">
        <f t="shared" si="6"/>
        <v>19.98</v>
      </c>
      <c r="K208" s="128"/>
      <c r="L208" s="10"/>
      <c r="M208" s="10"/>
      <c r="N208" s="52"/>
      <c r="O208" s="10"/>
    </row>
    <row r="209" spans="2:15" ht="29.25" x14ac:dyDescent="0.25">
      <c r="B209" s="33" t="s">
        <v>51</v>
      </c>
      <c r="C209" s="119" t="s">
        <v>58</v>
      </c>
      <c r="D209" s="26" t="s">
        <v>139</v>
      </c>
      <c r="E209" s="269" t="s">
        <v>138</v>
      </c>
      <c r="F209" s="122" t="s">
        <v>6</v>
      </c>
      <c r="G209" s="176">
        <v>3</v>
      </c>
      <c r="H209" s="17">
        <v>10.54</v>
      </c>
      <c r="I209" s="17"/>
      <c r="J209" s="17">
        <f t="shared" si="6"/>
        <v>31.619999999999997</v>
      </c>
      <c r="K209" s="87"/>
      <c r="L209" s="27"/>
      <c r="M209" s="27"/>
      <c r="N209" s="53"/>
      <c r="O209" s="27"/>
    </row>
    <row r="210" spans="2:15" ht="42.75" x14ac:dyDescent="0.25">
      <c r="B210" s="33" t="s">
        <v>51</v>
      </c>
      <c r="C210" s="29" t="s">
        <v>58</v>
      </c>
      <c r="D210" s="180" t="s">
        <v>141</v>
      </c>
      <c r="E210" s="179" t="s">
        <v>140</v>
      </c>
      <c r="F210" s="122" t="s">
        <v>6</v>
      </c>
      <c r="G210" s="176">
        <v>7</v>
      </c>
      <c r="H210" s="17">
        <v>28.51</v>
      </c>
      <c r="I210" s="17"/>
      <c r="J210" s="17">
        <f t="shared" si="6"/>
        <v>199.57000000000002</v>
      </c>
      <c r="K210" s="87"/>
      <c r="L210" s="27"/>
      <c r="M210" s="27"/>
      <c r="N210" s="53"/>
      <c r="O210" s="27"/>
    </row>
    <row r="211" spans="2:15" ht="28.5" x14ac:dyDescent="0.25">
      <c r="B211" s="172" t="s">
        <v>51</v>
      </c>
      <c r="C211" s="172" t="s">
        <v>58</v>
      </c>
      <c r="D211" s="172" t="s">
        <v>143</v>
      </c>
      <c r="E211" s="35" t="s">
        <v>142</v>
      </c>
      <c r="F211" s="122" t="s">
        <v>6</v>
      </c>
      <c r="G211" s="172" t="s">
        <v>144</v>
      </c>
      <c r="H211" s="17">
        <v>41.68</v>
      </c>
      <c r="I211" s="35"/>
      <c r="J211" s="17">
        <f t="shared" si="6"/>
        <v>333.44</v>
      </c>
      <c r="K211" s="87"/>
      <c r="L211" s="27"/>
      <c r="M211" s="27"/>
      <c r="N211" s="53"/>
      <c r="O211" s="27"/>
    </row>
    <row r="212" spans="2:15" ht="28.5" x14ac:dyDescent="0.25">
      <c r="B212" s="172" t="s">
        <v>117</v>
      </c>
      <c r="C212" s="172" t="s">
        <v>58</v>
      </c>
      <c r="D212" s="175" t="s">
        <v>146</v>
      </c>
      <c r="E212" s="35" t="s">
        <v>145</v>
      </c>
      <c r="F212" s="122" t="s">
        <v>6</v>
      </c>
      <c r="G212" s="172" t="s">
        <v>147</v>
      </c>
      <c r="H212" s="270">
        <v>17.850000000000001</v>
      </c>
      <c r="I212" s="185"/>
      <c r="J212" s="17">
        <f t="shared" si="6"/>
        <v>107.10000000000001</v>
      </c>
      <c r="K212" s="87"/>
      <c r="L212" s="27"/>
      <c r="M212" s="27"/>
      <c r="N212" s="53"/>
      <c r="O212" s="27"/>
    </row>
    <row r="213" spans="2:15" ht="28.5" x14ac:dyDescent="0.25">
      <c r="B213" s="172" t="s">
        <v>51</v>
      </c>
      <c r="C213" s="174" t="s">
        <v>58</v>
      </c>
      <c r="D213" s="177" t="s">
        <v>149</v>
      </c>
      <c r="E213" s="245" t="s">
        <v>148</v>
      </c>
      <c r="F213" s="122" t="s">
        <v>6</v>
      </c>
      <c r="G213" s="176">
        <v>3</v>
      </c>
      <c r="H213" s="270">
        <v>7.1</v>
      </c>
      <c r="I213" s="85"/>
      <c r="J213" s="17">
        <f t="shared" si="6"/>
        <v>21.299999999999997</v>
      </c>
      <c r="K213" s="128"/>
      <c r="L213" s="10"/>
      <c r="M213" s="10"/>
      <c r="N213" s="52">
        <f>SUM(N214)</f>
        <v>0</v>
      </c>
      <c r="O213" s="10" t="e">
        <f>N213/N213</f>
        <v>#DIV/0!</v>
      </c>
    </row>
    <row r="214" spans="2:15" ht="28.5" x14ac:dyDescent="0.25">
      <c r="B214" s="172" t="s">
        <v>51</v>
      </c>
      <c r="C214" s="174" t="s">
        <v>58</v>
      </c>
      <c r="D214" s="246" t="s">
        <v>151</v>
      </c>
      <c r="E214" s="245" t="s">
        <v>150</v>
      </c>
      <c r="F214" s="122" t="s">
        <v>6</v>
      </c>
      <c r="G214" s="247">
        <v>3</v>
      </c>
      <c r="H214" s="270">
        <v>8.82</v>
      </c>
      <c r="I214" s="85"/>
      <c r="J214" s="17">
        <f t="shared" si="6"/>
        <v>26.46</v>
      </c>
      <c r="K214" s="87"/>
      <c r="L214" s="27"/>
      <c r="M214" s="27"/>
      <c r="N214" s="53"/>
      <c r="O214" s="27"/>
    </row>
    <row r="215" spans="2:15" ht="28.5" x14ac:dyDescent="0.25">
      <c r="B215" s="172" t="s">
        <v>117</v>
      </c>
      <c r="C215" s="174" t="s">
        <v>58</v>
      </c>
      <c r="D215" s="271" t="s">
        <v>153</v>
      </c>
      <c r="E215" s="183" t="s">
        <v>152</v>
      </c>
      <c r="F215" s="122" t="s">
        <v>6</v>
      </c>
      <c r="G215" s="203">
        <v>2</v>
      </c>
      <c r="H215" s="270">
        <v>246.99</v>
      </c>
      <c r="I215" s="85"/>
      <c r="J215" s="17">
        <f t="shared" si="6"/>
        <v>493.98</v>
      </c>
      <c r="K215" s="87"/>
      <c r="L215" s="27"/>
      <c r="M215" s="27"/>
      <c r="N215" s="53"/>
      <c r="O215" s="27"/>
    </row>
    <row r="216" spans="2:15" x14ac:dyDescent="0.25">
      <c r="B216" s="172" t="s">
        <v>51</v>
      </c>
      <c r="C216" s="174" t="s">
        <v>58</v>
      </c>
      <c r="D216" s="177" t="s">
        <v>155</v>
      </c>
      <c r="E216" s="118" t="s">
        <v>154</v>
      </c>
      <c r="F216" s="248" t="s">
        <v>86</v>
      </c>
      <c r="G216" s="176">
        <v>15</v>
      </c>
      <c r="H216" s="270">
        <v>28.31</v>
      </c>
      <c r="I216" s="85"/>
      <c r="J216" s="17">
        <f t="shared" si="6"/>
        <v>424.65</v>
      </c>
      <c r="K216" s="87"/>
      <c r="L216" s="27"/>
      <c r="M216" s="27"/>
      <c r="N216" s="53"/>
      <c r="O216" s="27"/>
    </row>
    <row r="217" spans="2:15" x14ac:dyDescent="0.25">
      <c r="B217" s="172" t="s">
        <v>158</v>
      </c>
      <c r="C217" s="174" t="s">
        <v>58</v>
      </c>
      <c r="D217" s="177" t="s">
        <v>157</v>
      </c>
      <c r="E217" s="245" t="s">
        <v>156</v>
      </c>
      <c r="F217" s="248" t="s">
        <v>6</v>
      </c>
      <c r="G217" s="176">
        <v>3</v>
      </c>
      <c r="H217" s="270">
        <v>74</v>
      </c>
      <c r="I217" s="85"/>
      <c r="J217" s="17">
        <f t="shared" si="6"/>
        <v>222</v>
      </c>
      <c r="K217" s="87"/>
      <c r="L217" s="27"/>
      <c r="M217" s="27"/>
      <c r="N217" s="53"/>
      <c r="O217" s="27"/>
    </row>
    <row r="218" spans="2:15" ht="28.5" x14ac:dyDescent="0.25">
      <c r="B218" s="33" t="s">
        <v>51</v>
      </c>
      <c r="C218" s="119" t="s">
        <v>58</v>
      </c>
      <c r="D218" s="26" t="s">
        <v>160</v>
      </c>
      <c r="E218" s="179" t="s">
        <v>159</v>
      </c>
      <c r="F218" s="248" t="s">
        <v>6</v>
      </c>
      <c r="G218" s="123">
        <v>2</v>
      </c>
      <c r="H218" s="270">
        <v>9.6</v>
      </c>
      <c r="I218" s="17"/>
      <c r="J218" s="17">
        <f t="shared" si="6"/>
        <v>19.2</v>
      </c>
      <c r="K218" s="87"/>
      <c r="L218" s="27"/>
      <c r="M218" s="27"/>
      <c r="N218" s="53"/>
      <c r="O218" s="27"/>
    </row>
    <row r="219" spans="2:15" x14ac:dyDescent="0.25">
      <c r="B219" s="33" t="s">
        <v>51</v>
      </c>
      <c r="C219" s="119" t="s">
        <v>58</v>
      </c>
      <c r="D219" s="26" t="s">
        <v>162</v>
      </c>
      <c r="E219" s="272" t="s">
        <v>161</v>
      </c>
      <c r="F219" s="248" t="s">
        <v>6</v>
      </c>
      <c r="G219" s="176">
        <v>20</v>
      </c>
      <c r="H219" s="270">
        <v>12.55</v>
      </c>
      <c r="I219" s="17"/>
      <c r="J219" s="17">
        <f t="shared" si="6"/>
        <v>251</v>
      </c>
      <c r="K219" s="87"/>
      <c r="L219" s="27"/>
      <c r="M219" s="27"/>
      <c r="N219" s="53"/>
      <c r="O219" s="27"/>
    </row>
    <row r="220" spans="2:15" ht="28.5" x14ac:dyDescent="0.25">
      <c r="B220" s="33" t="s">
        <v>51</v>
      </c>
      <c r="C220" s="29" t="s">
        <v>58</v>
      </c>
      <c r="D220" s="180" t="s">
        <v>164</v>
      </c>
      <c r="E220" s="179" t="s">
        <v>163</v>
      </c>
      <c r="F220" s="86" t="s">
        <v>86</v>
      </c>
      <c r="G220" s="176">
        <v>20</v>
      </c>
      <c r="H220" s="270">
        <v>1.3</v>
      </c>
      <c r="I220" s="17"/>
      <c r="J220" s="17">
        <f t="shared" si="6"/>
        <v>26</v>
      </c>
      <c r="K220" s="128"/>
      <c r="L220" s="10"/>
      <c r="M220" s="10"/>
      <c r="N220" s="52">
        <f>SUM(N221)</f>
        <v>0</v>
      </c>
      <c r="O220" s="10" t="e">
        <f>N220/N220</f>
        <v>#DIV/0!</v>
      </c>
    </row>
    <row r="221" spans="2:15" ht="46.9" customHeight="1" x14ac:dyDescent="0.25">
      <c r="B221" s="172" t="s">
        <v>51</v>
      </c>
      <c r="C221" s="172" t="s">
        <v>58</v>
      </c>
      <c r="D221" s="172" t="s">
        <v>166</v>
      </c>
      <c r="E221" s="35" t="s">
        <v>165</v>
      </c>
      <c r="F221" s="86" t="s">
        <v>6</v>
      </c>
      <c r="G221" s="172" t="s">
        <v>57</v>
      </c>
      <c r="H221" s="270">
        <v>35.200000000000003</v>
      </c>
      <c r="I221" s="35"/>
      <c r="J221" s="17">
        <f t="shared" si="6"/>
        <v>35.200000000000003</v>
      </c>
      <c r="K221" s="87"/>
      <c r="L221" s="27"/>
      <c r="M221" s="27"/>
      <c r="N221" s="53"/>
      <c r="O221" s="27"/>
    </row>
    <row r="222" spans="2:15" ht="57" x14ac:dyDescent="0.25">
      <c r="B222" s="172" t="s">
        <v>117</v>
      </c>
      <c r="C222" s="172" t="s">
        <v>58</v>
      </c>
      <c r="D222" s="175" t="s">
        <v>168</v>
      </c>
      <c r="E222" s="35" t="s">
        <v>167</v>
      </c>
      <c r="F222" s="86" t="s">
        <v>6</v>
      </c>
      <c r="G222" s="172" t="s">
        <v>171</v>
      </c>
      <c r="H222" s="270">
        <v>98.29</v>
      </c>
      <c r="I222" s="185"/>
      <c r="J222" s="17">
        <f t="shared" si="6"/>
        <v>294.87</v>
      </c>
      <c r="K222" s="87"/>
      <c r="L222" s="27"/>
      <c r="M222" s="27"/>
      <c r="N222" s="53"/>
      <c r="O222" s="27"/>
    </row>
    <row r="223" spans="2:15" ht="57" x14ac:dyDescent="0.25">
      <c r="B223" s="172" t="s">
        <v>117</v>
      </c>
      <c r="C223" s="174" t="s">
        <v>58</v>
      </c>
      <c r="D223" s="175" t="s">
        <v>170</v>
      </c>
      <c r="E223" s="245" t="s">
        <v>169</v>
      </c>
      <c r="F223" s="86" t="s">
        <v>6</v>
      </c>
      <c r="G223" s="176">
        <v>2</v>
      </c>
      <c r="H223" s="270">
        <v>372.07</v>
      </c>
      <c r="I223" s="85"/>
      <c r="J223" s="17">
        <f t="shared" si="6"/>
        <v>744.14</v>
      </c>
      <c r="K223" s="87"/>
      <c r="L223" s="27"/>
      <c r="M223" s="27"/>
      <c r="N223" s="53"/>
      <c r="O223" s="27"/>
    </row>
    <row r="224" spans="2:15" ht="28.5" x14ac:dyDescent="0.25">
      <c r="B224" s="172" t="s">
        <v>51</v>
      </c>
      <c r="C224" s="174" t="s">
        <v>58</v>
      </c>
      <c r="D224" s="246" t="s">
        <v>173</v>
      </c>
      <c r="E224" s="245" t="s">
        <v>172</v>
      </c>
      <c r="F224" s="86" t="s">
        <v>6</v>
      </c>
      <c r="G224" s="247">
        <v>3</v>
      </c>
      <c r="H224" s="270">
        <v>6.25</v>
      </c>
      <c r="I224" s="85"/>
      <c r="J224" s="17">
        <f t="shared" si="6"/>
        <v>18.75</v>
      </c>
      <c r="K224" s="87"/>
      <c r="L224" s="27"/>
      <c r="M224" s="27"/>
      <c r="N224" s="53"/>
      <c r="O224" s="27"/>
    </row>
    <row r="225" spans="2:15" ht="28.5" x14ac:dyDescent="0.25">
      <c r="B225" s="172" t="s">
        <v>51</v>
      </c>
      <c r="C225" s="174" t="s">
        <v>58</v>
      </c>
      <c r="D225" s="246" t="s">
        <v>175</v>
      </c>
      <c r="E225" s="245" t="s">
        <v>174</v>
      </c>
      <c r="F225" s="86" t="s">
        <v>6</v>
      </c>
      <c r="G225" s="203">
        <v>2</v>
      </c>
      <c r="H225" s="270">
        <v>40.58</v>
      </c>
      <c r="I225" s="85"/>
      <c r="J225" s="17">
        <f t="shared" si="6"/>
        <v>81.16</v>
      </c>
      <c r="K225" s="87"/>
      <c r="L225" s="27"/>
      <c r="M225" s="27"/>
      <c r="N225" s="53"/>
      <c r="O225" s="27"/>
    </row>
    <row r="226" spans="2:15" ht="42.75" x14ac:dyDescent="0.25">
      <c r="B226" s="172" t="s">
        <v>51</v>
      </c>
      <c r="C226" s="174" t="s">
        <v>58</v>
      </c>
      <c r="D226" s="177" t="s">
        <v>177</v>
      </c>
      <c r="E226" s="179" t="s">
        <v>176</v>
      </c>
      <c r="F226" s="86" t="s">
        <v>6</v>
      </c>
      <c r="G226" s="176">
        <v>5</v>
      </c>
      <c r="H226" s="270">
        <v>6.97</v>
      </c>
      <c r="I226" s="85"/>
      <c r="J226" s="17">
        <f t="shared" si="6"/>
        <v>34.85</v>
      </c>
      <c r="K226" s="87"/>
      <c r="L226" s="27"/>
      <c r="M226" s="27"/>
      <c r="N226" s="53"/>
      <c r="O226" s="27"/>
    </row>
    <row r="227" spans="2:15" ht="43.15" customHeight="1" x14ac:dyDescent="0.25">
      <c r="B227" s="172" t="s">
        <v>51</v>
      </c>
      <c r="C227" s="174" t="s">
        <v>58</v>
      </c>
      <c r="D227" s="177" t="s">
        <v>129</v>
      </c>
      <c r="E227" s="245" t="s">
        <v>128</v>
      </c>
      <c r="F227" s="248" t="s">
        <v>86</v>
      </c>
      <c r="G227" s="176">
        <v>6</v>
      </c>
      <c r="H227" s="270">
        <v>18.559999999999999</v>
      </c>
      <c r="I227" s="85"/>
      <c r="J227" s="17">
        <f t="shared" si="6"/>
        <v>111.35999999999999</v>
      </c>
      <c r="K227" s="87"/>
      <c r="L227" s="27"/>
      <c r="M227" s="27"/>
      <c r="N227" s="53"/>
      <c r="O227" s="27"/>
    </row>
    <row r="228" spans="2:15" ht="42.75" x14ac:dyDescent="0.25">
      <c r="B228" s="33" t="s">
        <v>51</v>
      </c>
      <c r="C228" s="119" t="s">
        <v>58</v>
      </c>
      <c r="D228" s="26" t="s">
        <v>179</v>
      </c>
      <c r="E228" s="179" t="s">
        <v>178</v>
      </c>
      <c r="F228" s="122" t="s">
        <v>86</v>
      </c>
      <c r="G228" s="123">
        <v>24</v>
      </c>
      <c r="H228" s="270">
        <v>37.659999999999997</v>
      </c>
      <c r="I228" s="17"/>
      <c r="J228" s="17">
        <f t="shared" si="6"/>
        <v>903.83999999999992</v>
      </c>
      <c r="K228" s="128"/>
      <c r="L228" s="10"/>
      <c r="M228" s="10"/>
      <c r="N228" s="52">
        <f>SUM(N229)</f>
        <v>0</v>
      </c>
      <c r="O228" s="10" t="e">
        <f>N228/N228</f>
        <v>#DIV/0!</v>
      </c>
    </row>
    <row r="229" spans="2:15" x14ac:dyDescent="0.25">
      <c r="B229" s="33" t="s">
        <v>51</v>
      </c>
      <c r="C229" s="119" t="s">
        <v>58</v>
      </c>
      <c r="D229" s="26" t="s">
        <v>181</v>
      </c>
      <c r="E229" s="272" t="s">
        <v>180</v>
      </c>
      <c r="F229" s="86" t="s">
        <v>86</v>
      </c>
      <c r="G229" s="176">
        <v>3</v>
      </c>
      <c r="H229" s="270">
        <v>11.87</v>
      </c>
      <c r="I229" s="17"/>
      <c r="J229" s="17">
        <f t="shared" si="6"/>
        <v>35.61</v>
      </c>
      <c r="K229" s="87"/>
      <c r="L229" s="27"/>
      <c r="M229" s="27"/>
      <c r="N229" s="53"/>
      <c r="O229" s="27"/>
    </row>
    <row r="230" spans="2:15" x14ac:dyDescent="0.25">
      <c r="B230" s="33" t="s">
        <v>51</v>
      </c>
      <c r="C230" s="29" t="s">
        <v>58</v>
      </c>
      <c r="D230" s="180" t="s">
        <v>183</v>
      </c>
      <c r="E230" s="179" t="s">
        <v>182</v>
      </c>
      <c r="F230" s="86" t="s">
        <v>6</v>
      </c>
      <c r="G230" s="176">
        <v>3</v>
      </c>
      <c r="H230" s="270">
        <v>3.9</v>
      </c>
      <c r="I230" s="17"/>
      <c r="J230" s="17">
        <f t="shared" si="6"/>
        <v>11.7</v>
      </c>
      <c r="K230" s="87"/>
      <c r="L230" s="27"/>
      <c r="M230" s="27"/>
      <c r="N230" s="53"/>
      <c r="O230" s="27"/>
    </row>
    <row r="231" spans="2:15" ht="42.75" x14ac:dyDescent="0.25">
      <c r="B231" s="172" t="s">
        <v>51</v>
      </c>
      <c r="C231" s="172" t="s">
        <v>58</v>
      </c>
      <c r="D231" s="172" t="s">
        <v>185</v>
      </c>
      <c r="E231" s="35" t="s">
        <v>184</v>
      </c>
      <c r="F231" s="86" t="s">
        <v>86</v>
      </c>
      <c r="G231" s="172" t="s">
        <v>186</v>
      </c>
      <c r="H231" s="270">
        <v>11.85</v>
      </c>
      <c r="I231" s="35"/>
      <c r="J231" s="17">
        <f t="shared" si="6"/>
        <v>284.39999999999998</v>
      </c>
      <c r="K231" s="127"/>
      <c r="L231" s="7"/>
      <c r="M231" s="7"/>
      <c r="N231" s="54" t="e">
        <f>N232</f>
        <v>#VALUE!</v>
      </c>
      <c r="O231" s="7" t="e">
        <f>N231/$N$297</f>
        <v>#VALUE!</v>
      </c>
    </row>
    <row r="232" spans="2:15" ht="28.5" x14ac:dyDescent="0.25">
      <c r="B232" s="172" t="s">
        <v>51</v>
      </c>
      <c r="C232" s="172" t="s">
        <v>58</v>
      </c>
      <c r="D232" s="175" t="s">
        <v>188</v>
      </c>
      <c r="E232" s="35" t="s">
        <v>187</v>
      </c>
      <c r="F232" s="86" t="s">
        <v>6</v>
      </c>
      <c r="G232" s="172" t="s">
        <v>57</v>
      </c>
      <c r="H232" s="270">
        <v>5.16</v>
      </c>
      <c r="I232" s="185"/>
      <c r="J232" s="17">
        <f t="shared" si="6"/>
        <v>5.16</v>
      </c>
      <c r="K232" s="128"/>
      <c r="L232" s="10"/>
      <c r="M232" s="10"/>
      <c r="N232" s="52" t="e">
        <f>SUM(N233)</f>
        <v>#VALUE!</v>
      </c>
      <c r="O232" s="10" t="e">
        <f>N232/N232</f>
        <v>#VALUE!</v>
      </c>
    </row>
    <row r="233" spans="2:15" ht="18.399999999999999" customHeight="1" x14ac:dyDescent="0.25">
      <c r="B233" s="172" t="s">
        <v>51</v>
      </c>
      <c r="C233" s="174" t="s">
        <v>58</v>
      </c>
      <c r="D233" s="177" t="s">
        <v>190</v>
      </c>
      <c r="E233" s="245" t="s">
        <v>189</v>
      </c>
      <c r="F233" s="86" t="s">
        <v>6</v>
      </c>
      <c r="G233" s="176">
        <v>1</v>
      </c>
      <c r="H233" s="270">
        <v>112.36</v>
      </c>
      <c r="I233" s="85"/>
      <c r="J233" s="17">
        <f t="shared" si="6"/>
        <v>112.36</v>
      </c>
      <c r="K233" s="87"/>
      <c r="L233" s="27"/>
      <c r="M233" s="27"/>
      <c r="N233" s="53" t="e">
        <f>ROUND((E233*I233),2)</f>
        <v>#VALUE!</v>
      </c>
      <c r="O233" s="27" t="e">
        <f>N233/N232</f>
        <v>#VALUE!</v>
      </c>
    </row>
    <row r="234" spans="2:15" s="89" customFormat="1" x14ac:dyDescent="0.25">
      <c r="B234" s="172" t="s">
        <v>51</v>
      </c>
      <c r="C234" s="174" t="s">
        <v>58</v>
      </c>
      <c r="D234" s="246" t="s">
        <v>192</v>
      </c>
      <c r="E234" s="245" t="s">
        <v>191</v>
      </c>
      <c r="F234" s="86" t="s">
        <v>86</v>
      </c>
      <c r="G234" s="247">
        <v>3</v>
      </c>
      <c r="H234" s="270">
        <v>10.8</v>
      </c>
      <c r="I234" s="85"/>
      <c r="J234" s="17">
        <f t="shared" si="6"/>
        <v>32.400000000000006</v>
      </c>
      <c r="K234" s="87"/>
      <c r="L234" s="27"/>
      <c r="M234" s="27"/>
      <c r="N234" s="51"/>
      <c r="O234" s="27"/>
    </row>
    <row r="235" spans="2:15" x14ac:dyDescent="0.25">
      <c r="B235" s="172" t="s">
        <v>51</v>
      </c>
      <c r="C235" s="174" t="s">
        <v>58</v>
      </c>
      <c r="D235" s="246" t="s">
        <v>194</v>
      </c>
      <c r="E235" s="183" t="s">
        <v>193</v>
      </c>
      <c r="F235" s="248" t="s">
        <v>6</v>
      </c>
      <c r="G235" s="203">
        <v>1</v>
      </c>
      <c r="H235" s="270">
        <v>2.84</v>
      </c>
      <c r="I235" s="85"/>
      <c r="J235" s="17">
        <f t="shared" si="6"/>
        <v>2.84</v>
      </c>
      <c r="K235" s="87"/>
      <c r="L235" s="27"/>
      <c r="M235" s="27"/>
      <c r="N235" s="51"/>
      <c r="O235" s="27"/>
    </row>
    <row r="236" spans="2:15" ht="28.5" x14ac:dyDescent="0.25">
      <c r="B236" s="172" t="s">
        <v>117</v>
      </c>
      <c r="C236" s="174" t="s">
        <v>58</v>
      </c>
      <c r="D236" s="175" t="s">
        <v>196</v>
      </c>
      <c r="E236" s="179" t="s">
        <v>195</v>
      </c>
      <c r="F236" s="248" t="s">
        <v>97</v>
      </c>
      <c r="G236" s="176">
        <v>1.5</v>
      </c>
      <c r="H236" s="270">
        <v>17.04</v>
      </c>
      <c r="I236" s="85"/>
      <c r="J236" s="17">
        <f t="shared" si="6"/>
        <v>25.56</v>
      </c>
      <c r="K236" s="87"/>
      <c r="L236" s="27"/>
      <c r="M236" s="27"/>
      <c r="N236" s="51"/>
      <c r="O236" s="27"/>
    </row>
    <row r="237" spans="2:15" x14ac:dyDescent="0.25">
      <c r="B237" s="251"/>
      <c r="C237" s="222"/>
      <c r="D237" s="264"/>
      <c r="E237" s="273"/>
      <c r="F237" s="40"/>
      <c r="G237" s="115"/>
      <c r="H237" s="17" t="s">
        <v>44</v>
      </c>
      <c r="I237" s="17"/>
      <c r="J237" s="17">
        <v>16499.849999999999</v>
      </c>
      <c r="K237" s="87"/>
      <c r="L237" s="27"/>
      <c r="M237" s="27"/>
      <c r="N237" s="53"/>
      <c r="O237" s="27"/>
    </row>
    <row r="238" spans="2:15" ht="27.4" hidden="1" customHeight="1" x14ac:dyDescent="0.25">
      <c r="B238" s="190"/>
      <c r="C238" s="191"/>
      <c r="D238" s="192"/>
      <c r="E238" s="193"/>
      <c r="F238" s="178"/>
      <c r="G238" s="200"/>
      <c r="H238" s="178"/>
      <c r="I238" s="178"/>
      <c r="J238" s="178"/>
      <c r="K238" s="87"/>
      <c r="L238" s="27"/>
      <c r="M238" s="27"/>
      <c r="N238" s="27"/>
      <c r="O238" s="27"/>
    </row>
    <row r="239" spans="2:15" ht="27.4" hidden="1" customHeight="1" x14ac:dyDescent="0.25">
      <c r="B239" s="145"/>
      <c r="C239" s="146"/>
      <c r="D239" s="147"/>
      <c r="E239" s="148"/>
      <c r="F239" s="149"/>
      <c r="G239" s="150"/>
      <c r="H239" s="149"/>
      <c r="I239" s="149"/>
      <c r="J239" s="149"/>
      <c r="K239" s="87"/>
      <c r="L239" s="27"/>
      <c r="M239" s="27"/>
      <c r="N239" s="27"/>
      <c r="O239" s="27"/>
    </row>
    <row r="240" spans="2:15" ht="27.4" hidden="1" customHeight="1" x14ac:dyDescent="0.25">
      <c r="B240" s="153"/>
      <c r="C240" s="581"/>
      <c r="D240" s="581"/>
      <c r="E240" s="581"/>
      <c r="F240" s="581"/>
      <c r="G240" s="581"/>
      <c r="H240" s="581"/>
      <c r="I240" s="141"/>
      <c r="J240" s="154"/>
      <c r="K240" s="127"/>
      <c r="L240" s="7"/>
      <c r="M240" s="7"/>
      <c r="N240" s="54">
        <f>N241</f>
        <v>0</v>
      </c>
      <c r="O240" s="7" t="e">
        <f>N240/$N$297</f>
        <v>#REF!</v>
      </c>
    </row>
    <row r="241" spans="2:15" ht="27.4" hidden="1" customHeight="1" x14ac:dyDescent="0.25">
      <c r="B241" s="142"/>
      <c r="C241" s="580"/>
      <c r="D241" s="580"/>
      <c r="E241" s="580"/>
      <c r="F241" s="580"/>
      <c r="G241" s="580"/>
      <c r="H241" s="580"/>
      <c r="I241" s="143"/>
      <c r="J241" s="144"/>
      <c r="K241" s="128"/>
      <c r="L241" s="10"/>
      <c r="M241" s="10"/>
      <c r="N241" s="10"/>
      <c r="O241" s="10">
        <f>O165</f>
        <v>0</v>
      </c>
    </row>
    <row r="242" spans="2:15" ht="27.4" hidden="1" customHeight="1" x14ac:dyDescent="0.25">
      <c r="B242" s="145"/>
      <c r="C242" s="146"/>
      <c r="D242" s="147"/>
      <c r="E242" s="148"/>
      <c r="F242" s="149"/>
      <c r="G242" s="150"/>
      <c r="H242" s="149"/>
      <c r="I242" s="149"/>
      <c r="J242" s="149"/>
      <c r="K242" s="130"/>
      <c r="L242" s="27"/>
      <c r="M242" s="27"/>
      <c r="N242" s="27"/>
      <c r="O242" s="27"/>
    </row>
    <row r="243" spans="2:15" ht="27.4" hidden="1" customHeight="1" x14ac:dyDescent="0.25">
      <c r="B243" s="145"/>
      <c r="C243" s="146"/>
      <c r="D243" s="147"/>
      <c r="E243" s="148"/>
      <c r="F243" s="149"/>
      <c r="G243" s="150"/>
      <c r="H243" s="149"/>
      <c r="I243" s="149"/>
      <c r="J243" s="149"/>
      <c r="K243" s="130"/>
      <c r="L243" s="27"/>
      <c r="M243" s="27"/>
      <c r="N243" s="27"/>
      <c r="O243" s="27"/>
    </row>
    <row r="244" spans="2:15" ht="27.4" hidden="1" customHeight="1" x14ac:dyDescent="0.25">
      <c r="B244" s="145"/>
      <c r="C244" s="146"/>
      <c r="D244" s="147"/>
      <c r="E244" s="148"/>
      <c r="F244" s="149"/>
      <c r="G244" s="150"/>
      <c r="H244" s="149"/>
      <c r="I244" s="149"/>
      <c r="J244" s="149"/>
      <c r="K244" s="130"/>
      <c r="L244" s="27"/>
      <c r="M244" s="27"/>
      <c r="N244" s="27"/>
      <c r="O244" s="27"/>
    </row>
    <row r="245" spans="2:15" ht="27.4" hidden="1" customHeight="1" x14ac:dyDescent="0.25">
      <c r="B245" s="145"/>
      <c r="C245" s="146"/>
      <c r="D245" s="147"/>
      <c r="E245" s="148"/>
      <c r="F245" s="149"/>
      <c r="G245" s="150"/>
      <c r="H245" s="149"/>
      <c r="I245" s="149"/>
      <c r="J245" s="149"/>
      <c r="K245" s="130"/>
      <c r="L245" s="27"/>
      <c r="M245" s="27"/>
      <c r="N245" s="27"/>
      <c r="O245" s="27"/>
    </row>
    <row r="246" spans="2:15" ht="27.4" hidden="1" customHeight="1" x14ac:dyDescent="0.25">
      <c r="B246" s="145"/>
      <c r="C246" s="159"/>
      <c r="D246" s="147"/>
      <c r="E246" s="148"/>
      <c r="F246" s="149"/>
      <c r="G246" s="150"/>
      <c r="H246" s="149"/>
      <c r="I246" s="149"/>
      <c r="J246" s="149"/>
      <c r="K246" s="130"/>
      <c r="L246" s="27"/>
      <c r="M246" s="27"/>
      <c r="N246" s="27"/>
      <c r="O246" s="27"/>
    </row>
    <row r="247" spans="2:15" ht="27.4" hidden="1" customHeight="1" x14ac:dyDescent="0.25">
      <c r="B247" s="145"/>
      <c r="C247" s="146"/>
      <c r="D247" s="147"/>
      <c r="E247" s="148"/>
      <c r="F247" s="149"/>
      <c r="G247" s="150"/>
      <c r="H247" s="149"/>
      <c r="I247" s="149"/>
      <c r="J247" s="149"/>
      <c r="K247" s="130"/>
      <c r="L247" s="27"/>
      <c r="M247" s="27"/>
      <c r="N247" s="27"/>
      <c r="O247" s="27"/>
    </row>
    <row r="248" spans="2:15" ht="27.4" hidden="1" customHeight="1" x14ac:dyDescent="0.25">
      <c r="B248" s="145"/>
      <c r="C248" s="146"/>
      <c r="D248" s="147"/>
      <c r="E248" s="148"/>
      <c r="F248" s="149"/>
      <c r="G248" s="150"/>
      <c r="H248" s="149"/>
      <c r="I248" s="149"/>
      <c r="J248" s="149"/>
      <c r="K248" s="130"/>
      <c r="L248" s="27"/>
      <c r="M248" s="27"/>
      <c r="N248" s="27"/>
      <c r="O248" s="27"/>
    </row>
    <row r="249" spans="2:15" ht="27.4" hidden="1" customHeight="1" x14ac:dyDescent="0.25">
      <c r="B249" s="145"/>
      <c r="C249" s="146"/>
      <c r="D249" s="147"/>
      <c r="E249" s="148"/>
      <c r="F249" s="149"/>
      <c r="G249" s="150"/>
      <c r="H249" s="149"/>
      <c r="I249" s="149"/>
      <c r="J249" s="149"/>
      <c r="K249" s="130"/>
      <c r="L249" s="27"/>
      <c r="M249" s="27"/>
      <c r="N249" s="27"/>
      <c r="O249" s="27"/>
    </row>
    <row r="250" spans="2:15" ht="27.4" hidden="1" customHeight="1" x14ac:dyDescent="0.25">
      <c r="B250" s="153"/>
      <c r="C250" s="141"/>
      <c r="D250" s="141"/>
      <c r="E250" s="141"/>
      <c r="F250" s="141"/>
      <c r="G250" s="141"/>
      <c r="H250" s="141"/>
      <c r="I250" s="141"/>
      <c r="J250" s="154"/>
      <c r="K250" s="127"/>
      <c r="L250" s="7"/>
      <c r="M250" s="7"/>
      <c r="N250" s="54">
        <f>N251</f>
        <v>0</v>
      </c>
      <c r="O250" s="7" t="e">
        <f>N250/$N$297</f>
        <v>#REF!</v>
      </c>
    </row>
    <row r="251" spans="2:15" ht="27.4" hidden="1" customHeight="1" x14ac:dyDescent="0.25">
      <c r="B251" s="142"/>
      <c r="C251" s="143"/>
      <c r="D251" s="143"/>
      <c r="E251" s="143"/>
      <c r="F251" s="143"/>
      <c r="G251" s="143"/>
      <c r="H251" s="143"/>
      <c r="I251" s="143"/>
      <c r="J251" s="144"/>
      <c r="K251" s="128"/>
      <c r="L251" s="10"/>
      <c r="M251" s="10"/>
      <c r="N251" s="10"/>
      <c r="O251" s="10">
        <f>O2561</f>
        <v>0</v>
      </c>
    </row>
    <row r="252" spans="2:15" ht="14.65" hidden="1" customHeight="1" x14ac:dyDescent="0.25">
      <c r="B252" s="145"/>
      <c r="C252" s="152"/>
      <c r="D252" s="147"/>
      <c r="E252" s="148"/>
      <c r="F252" s="149"/>
      <c r="G252" s="150"/>
      <c r="H252" s="149"/>
      <c r="I252" s="149"/>
      <c r="J252" s="149"/>
      <c r="K252" s="87"/>
      <c r="L252" s="27"/>
      <c r="M252" s="27"/>
      <c r="N252" s="27"/>
      <c r="O252" s="27"/>
    </row>
    <row r="253" spans="2:15" ht="14.65" hidden="1" customHeight="1" x14ac:dyDescent="0.25">
      <c r="B253" s="145"/>
      <c r="C253" s="152"/>
      <c r="D253" s="147"/>
      <c r="E253" s="148"/>
      <c r="F253" s="149"/>
      <c r="G253" s="150"/>
      <c r="H253" s="149"/>
      <c r="I253" s="149"/>
      <c r="J253" s="149"/>
      <c r="K253" s="87"/>
      <c r="L253" s="27"/>
      <c r="M253" s="27"/>
      <c r="N253" s="27"/>
      <c r="O253" s="27"/>
    </row>
    <row r="254" spans="2:15" ht="14.65" hidden="1" customHeight="1" x14ac:dyDescent="0.25">
      <c r="B254" s="145"/>
      <c r="C254" s="152"/>
      <c r="D254" s="147"/>
      <c r="E254" s="148"/>
      <c r="F254" s="149"/>
      <c r="G254" s="150"/>
      <c r="H254" s="149"/>
      <c r="I254" s="149"/>
      <c r="J254" s="149"/>
      <c r="K254" s="87"/>
      <c r="L254" s="27"/>
      <c r="M254" s="27"/>
      <c r="N254" s="27"/>
      <c r="O254" s="27"/>
    </row>
    <row r="255" spans="2:15" ht="14.65" hidden="1" customHeight="1" x14ac:dyDescent="0.25">
      <c r="B255" s="145"/>
      <c r="C255" s="152"/>
      <c r="D255" s="147"/>
      <c r="E255" s="148"/>
      <c r="F255" s="149"/>
      <c r="G255" s="150"/>
      <c r="H255" s="149"/>
      <c r="I255" s="149"/>
      <c r="J255" s="149"/>
      <c r="K255" s="87"/>
      <c r="L255" s="27"/>
      <c r="M255" s="27"/>
      <c r="N255" s="27"/>
      <c r="O255" s="27"/>
    </row>
    <row r="256" spans="2:15" ht="14.65" hidden="1" customHeight="1" x14ac:dyDescent="0.25">
      <c r="B256" s="145"/>
      <c r="C256" s="152"/>
      <c r="D256" s="147"/>
      <c r="E256" s="148"/>
      <c r="F256" s="149"/>
      <c r="G256" s="150"/>
      <c r="H256" s="149"/>
      <c r="I256" s="149"/>
      <c r="J256" s="149"/>
      <c r="K256" s="87"/>
      <c r="L256" s="27"/>
      <c r="M256" s="27"/>
      <c r="N256" s="27"/>
      <c r="O256" s="27"/>
    </row>
    <row r="257" spans="2:15" ht="14.65" hidden="1" customHeight="1" x14ac:dyDescent="0.25">
      <c r="B257" s="145"/>
      <c r="C257" s="152"/>
      <c r="D257" s="147"/>
      <c r="E257" s="148"/>
      <c r="F257" s="149"/>
      <c r="G257" s="150"/>
      <c r="H257" s="149"/>
      <c r="I257" s="149"/>
      <c r="J257" s="149"/>
      <c r="K257" s="87"/>
      <c r="L257" s="27"/>
      <c r="M257" s="27"/>
      <c r="N257" s="27"/>
      <c r="O257" s="27"/>
    </row>
    <row r="258" spans="2:15" ht="14.65" hidden="1" customHeight="1" x14ac:dyDescent="0.25">
      <c r="B258" s="145"/>
      <c r="C258" s="152"/>
      <c r="D258" s="147"/>
      <c r="E258" s="148"/>
      <c r="F258" s="149"/>
      <c r="G258" s="150"/>
      <c r="H258" s="149"/>
      <c r="I258" s="149"/>
      <c r="J258" s="149"/>
      <c r="K258" s="87"/>
      <c r="L258" s="27"/>
      <c r="M258" s="27"/>
      <c r="N258" s="27"/>
      <c r="O258" s="27"/>
    </row>
    <row r="259" spans="2:15" ht="14.65" hidden="1" customHeight="1" x14ac:dyDescent="0.25">
      <c r="B259" s="145"/>
      <c r="C259" s="152"/>
      <c r="D259" s="147"/>
      <c r="E259" s="148"/>
      <c r="F259" s="149"/>
      <c r="G259" s="150"/>
      <c r="H259" s="149"/>
      <c r="I259" s="149"/>
      <c r="J259" s="149"/>
      <c r="K259" s="87"/>
      <c r="L259" s="27"/>
      <c r="M259" s="27"/>
      <c r="N259" s="27"/>
      <c r="O259" s="27"/>
    </row>
    <row r="260" spans="2:15" ht="14.65" hidden="1" customHeight="1" x14ac:dyDescent="0.25">
      <c r="B260" s="145"/>
      <c r="C260" s="152"/>
      <c r="D260" s="147"/>
      <c r="E260" s="148"/>
      <c r="F260" s="149"/>
      <c r="G260" s="150"/>
      <c r="H260" s="149"/>
      <c r="I260" s="149"/>
      <c r="J260" s="149"/>
      <c r="K260" s="87"/>
      <c r="L260" s="27"/>
      <c r="M260" s="27"/>
      <c r="N260" s="27"/>
      <c r="O260" s="27"/>
    </row>
    <row r="261" spans="2:15" ht="14.65" hidden="1" customHeight="1" x14ac:dyDescent="0.25">
      <c r="B261" s="153"/>
      <c r="C261" s="141"/>
      <c r="D261" s="141"/>
      <c r="E261" s="141"/>
      <c r="F261" s="141"/>
      <c r="G261" s="141"/>
      <c r="H261" s="141"/>
      <c r="I261" s="141"/>
      <c r="J261" s="154"/>
      <c r="K261" s="127"/>
      <c r="L261" s="7"/>
      <c r="M261" s="7"/>
      <c r="N261" s="54">
        <f>N262+N266+N269+N275+N280</f>
        <v>0</v>
      </c>
      <c r="O261" s="7" t="e">
        <f>N261/$N$297</f>
        <v>#REF!</v>
      </c>
    </row>
    <row r="262" spans="2:15" ht="14.65" hidden="1" customHeight="1" x14ac:dyDescent="0.25">
      <c r="B262" s="142"/>
      <c r="C262" s="580"/>
      <c r="D262" s="580"/>
      <c r="E262" s="580"/>
      <c r="F262" s="580"/>
      <c r="G262" s="580"/>
      <c r="H262" s="580"/>
      <c r="I262" s="143"/>
      <c r="J262" s="144"/>
      <c r="K262" s="128"/>
      <c r="L262" s="10"/>
      <c r="M262" s="10"/>
      <c r="N262" s="73">
        <f>SUM(N263:N265)</f>
        <v>0</v>
      </c>
      <c r="O262" s="10" t="e">
        <f>N262/N262</f>
        <v>#DIV/0!</v>
      </c>
    </row>
    <row r="263" spans="2:15" ht="27.4" hidden="1" customHeight="1" x14ac:dyDescent="0.25">
      <c r="B263" s="145"/>
      <c r="C263" s="146"/>
      <c r="D263" s="145"/>
      <c r="E263" s="160"/>
      <c r="F263" s="161"/>
      <c r="G263" s="162"/>
      <c r="H263" s="161"/>
      <c r="I263" s="149"/>
      <c r="J263" s="149"/>
      <c r="K263" s="87"/>
      <c r="L263" s="27"/>
      <c r="M263" s="27"/>
      <c r="N263" s="53">
        <f>ROUND((E263*I263),2)</f>
        <v>0</v>
      </c>
      <c r="O263" s="27" t="e">
        <f>N263/$N$262</f>
        <v>#DIV/0!</v>
      </c>
    </row>
    <row r="264" spans="2:15" ht="14.65" hidden="1" customHeight="1" x14ac:dyDescent="0.25">
      <c r="B264" s="145"/>
      <c r="C264" s="146"/>
      <c r="D264" s="145"/>
      <c r="E264" s="160"/>
      <c r="F264" s="161"/>
      <c r="G264" s="162"/>
      <c r="H264" s="161"/>
      <c r="I264" s="149"/>
      <c r="J264" s="149"/>
      <c r="K264" s="87"/>
      <c r="L264" s="27"/>
      <c r="M264" s="27"/>
      <c r="N264" s="53">
        <f>ROUND((E264*I264),2)</f>
        <v>0</v>
      </c>
      <c r="O264" s="27" t="e">
        <f>N264/$N$262</f>
        <v>#DIV/0!</v>
      </c>
    </row>
    <row r="265" spans="2:15" ht="30.4" hidden="1" customHeight="1" x14ac:dyDescent="0.25">
      <c r="B265" s="145"/>
      <c r="C265" s="146"/>
      <c r="D265" s="145"/>
      <c r="E265" s="160"/>
      <c r="F265" s="161"/>
      <c r="G265" s="162"/>
      <c r="H265" s="161"/>
      <c r="I265" s="149"/>
      <c r="J265" s="149"/>
      <c r="K265" s="87"/>
      <c r="L265" s="27"/>
      <c r="M265" s="27"/>
      <c r="N265" s="53">
        <f>ROUND((E265*I265),2)</f>
        <v>0</v>
      </c>
      <c r="O265" s="27" t="e">
        <f>N265/$N$262</f>
        <v>#DIV/0!</v>
      </c>
    </row>
    <row r="266" spans="2:15" ht="14.65" hidden="1" customHeight="1" x14ac:dyDescent="0.25">
      <c r="B266" s="142"/>
      <c r="C266" s="143"/>
      <c r="D266" s="143"/>
      <c r="E266" s="143"/>
      <c r="F266" s="143"/>
      <c r="G266" s="143"/>
      <c r="H266" s="143"/>
      <c r="I266" s="143"/>
      <c r="J266" s="144"/>
      <c r="K266" s="128"/>
      <c r="L266" s="10"/>
      <c r="M266" s="10"/>
      <c r="N266" s="10"/>
      <c r="O266" s="10">
        <f>O2576</f>
        <v>0</v>
      </c>
    </row>
    <row r="267" spans="2:15" ht="14.65" hidden="1" customHeight="1" x14ac:dyDescent="0.25">
      <c r="B267" s="145"/>
      <c r="C267" s="146"/>
      <c r="D267" s="145"/>
      <c r="E267" s="160"/>
      <c r="F267" s="161"/>
      <c r="G267" s="162"/>
      <c r="H267" s="161"/>
      <c r="I267" s="149"/>
      <c r="J267" s="149"/>
      <c r="K267" s="87"/>
      <c r="L267" s="27"/>
      <c r="M267" s="27"/>
      <c r="N267" s="27"/>
      <c r="O267" s="27"/>
    </row>
    <row r="268" spans="2:15" ht="14.65" hidden="1" customHeight="1" x14ac:dyDescent="0.25">
      <c r="B268" s="145"/>
      <c r="C268" s="146"/>
      <c r="D268" s="145"/>
      <c r="E268" s="160"/>
      <c r="F268" s="161"/>
      <c r="G268" s="162"/>
      <c r="H268" s="161"/>
      <c r="I268" s="149"/>
      <c r="J268" s="149"/>
      <c r="K268" s="87"/>
      <c r="L268" s="27"/>
      <c r="M268" s="27"/>
      <c r="N268" s="27"/>
      <c r="O268" s="27"/>
    </row>
    <row r="269" spans="2:15" ht="14.65" hidden="1" customHeight="1" x14ac:dyDescent="0.25">
      <c r="B269" s="142"/>
      <c r="C269" s="143"/>
      <c r="D269" s="143"/>
      <c r="E269" s="143"/>
      <c r="F269" s="143"/>
      <c r="G269" s="143"/>
      <c r="H269" s="143"/>
      <c r="I269" s="143"/>
      <c r="J269" s="144"/>
      <c r="K269" s="128"/>
      <c r="L269" s="10"/>
      <c r="M269" s="10"/>
      <c r="N269" s="10"/>
      <c r="O269" s="10">
        <f>O2579</f>
        <v>0</v>
      </c>
    </row>
    <row r="270" spans="2:15" ht="14.65" hidden="1" customHeight="1" x14ac:dyDescent="0.25">
      <c r="B270" s="145"/>
      <c r="C270" s="152"/>
      <c r="D270" s="147"/>
      <c r="E270" s="148"/>
      <c r="F270" s="149"/>
      <c r="G270" s="150"/>
      <c r="H270" s="149"/>
      <c r="I270" s="149"/>
      <c r="J270" s="149"/>
      <c r="K270" s="87"/>
      <c r="L270" s="27"/>
      <c r="M270" s="27"/>
      <c r="N270" s="27"/>
      <c r="O270" s="27"/>
    </row>
    <row r="271" spans="2:15" ht="14.65" hidden="1" customHeight="1" x14ac:dyDescent="0.25">
      <c r="B271" s="145"/>
      <c r="C271" s="146"/>
      <c r="D271" s="147"/>
      <c r="E271" s="148"/>
      <c r="F271" s="149"/>
      <c r="G271" s="150"/>
      <c r="H271" s="149"/>
      <c r="I271" s="149"/>
      <c r="J271" s="149"/>
      <c r="K271" s="87"/>
      <c r="L271" s="27"/>
      <c r="M271" s="27"/>
      <c r="N271" s="27"/>
      <c r="O271" s="27"/>
    </row>
    <row r="272" spans="2:15" hidden="1" x14ac:dyDescent="0.25">
      <c r="B272" s="145"/>
      <c r="C272" s="152"/>
      <c r="D272" s="147"/>
      <c r="E272" s="148"/>
      <c r="F272" s="149"/>
      <c r="G272" s="150"/>
      <c r="H272" s="149"/>
      <c r="I272" s="149"/>
      <c r="J272" s="149"/>
      <c r="K272" s="87"/>
      <c r="L272" s="27"/>
      <c r="M272" s="27"/>
      <c r="N272" s="27"/>
      <c r="O272" s="27"/>
    </row>
    <row r="273" spans="2:15" hidden="1" x14ac:dyDescent="0.25">
      <c r="B273" s="145"/>
      <c r="C273" s="146"/>
      <c r="D273" s="147"/>
      <c r="E273" s="148"/>
      <c r="F273" s="149"/>
      <c r="G273" s="150"/>
      <c r="H273" s="149"/>
      <c r="I273" s="149"/>
      <c r="J273" s="149"/>
      <c r="K273" s="87"/>
      <c r="L273" s="27"/>
      <c r="M273" s="27"/>
      <c r="N273" s="27"/>
      <c r="O273" s="27"/>
    </row>
    <row r="274" spans="2:15" hidden="1" x14ac:dyDescent="0.25">
      <c r="B274" s="145"/>
      <c r="C274" s="152"/>
      <c r="D274" s="147"/>
      <c r="E274" s="148"/>
      <c r="F274" s="149"/>
      <c r="G274" s="150"/>
      <c r="H274" s="149"/>
      <c r="I274" s="149"/>
      <c r="J274" s="149"/>
      <c r="K274" s="87"/>
      <c r="L274" s="27"/>
      <c r="M274" s="27"/>
      <c r="N274" s="27"/>
      <c r="O274" s="27"/>
    </row>
    <row r="275" spans="2:15" ht="14.65" hidden="1" customHeight="1" x14ac:dyDescent="0.25">
      <c r="B275" s="142"/>
      <c r="C275" s="580"/>
      <c r="D275" s="580"/>
      <c r="E275" s="580"/>
      <c r="F275" s="580"/>
      <c r="G275" s="580"/>
      <c r="H275" s="580"/>
      <c r="I275" s="143"/>
      <c r="J275" s="144"/>
      <c r="K275" s="128"/>
      <c r="L275" s="10"/>
      <c r="M275" s="10"/>
      <c r="N275" s="10"/>
      <c r="O275" s="10">
        <f>O2585</f>
        <v>0</v>
      </c>
    </row>
    <row r="276" spans="2:15" hidden="1" x14ac:dyDescent="0.25">
      <c r="B276" s="145"/>
      <c r="C276" s="146"/>
      <c r="D276" s="147"/>
      <c r="E276" s="148"/>
      <c r="F276" s="149"/>
      <c r="G276" s="150"/>
      <c r="H276" s="149"/>
      <c r="I276" s="149"/>
      <c r="J276" s="149"/>
      <c r="K276" s="87"/>
      <c r="L276" s="27"/>
      <c r="M276" s="27"/>
      <c r="N276" s="27"/>
      <c r="O276" s="27"/>
    </row>
    <row r="277" spans="2:15" hidden="1" x14ac:dyDescent="0.25">
      <c r="B277" s="145"/>
      <c r="C277" s="146"/>
      <c r="D277" s="147"/>
      <c r="E277" s="148"/>
      <c r="F277" s="149"/>
      <c r="G277" s="150"/>
      <c r="H277" s="149"/>
      <c r="I277" s="149"/>
      <c r="J277" s="149"/>
      <c r="K277" s="87"/>
      <c r="L277" s="27"/>
      <c r="M277" s="27"/>
      <c r="N277" s="27"/>
      <c r="O277" s="27"/>
    </row>
    <row r="278" spans="2:15" hidden="1" x14ac:dyDescent="0.25">
      <c r="B278" s="145"/>
      <c r="C278" s="146"/>
      <c r="D278" s="147"/>
      <c r="E278" s="148"/>
      <c r="F278" s="149"/>
      <c r="G278" s="150"/>
      <c r="H278" s="149"/>
      <c r="I278" s="149"/>
      <c r="J278" s="149"/>
      <c r="K278" s="87"/>
      <c r="L278" s="27"/>
      <c r="M278" s="27"/>
      <c r="N278" s="27"/>
      <c r="O278" s="27"/>
    </row>
    <row r="279" spans="2:15" hidden="1" x14ac:dyDescent="0.25">
      <c r="B279" s="145"/>
      <c r="C279" s="146"/>
      <c r="D279" s="147"/>
      <c r="E279" s="148"/>
      <c r="F279" s="149"/>
      <c r="G279" s="150"/>
      <c r="H279" s="149"/>
      <c r="I279" s="149"/>
      <c r="J279" s="149"/>
      <c r="K279" s="87"/>
      <c r="L279" s="27"/>
      <c r="M279" s="27"/>
      <c r="N279" s="27"/>
      <c r="O279" s="27"/>
    </row>
    <row r="280" spans="2:15" ht="14.65" hidden="1" customHeight="1" x14ac:dyDescent="0.25">
      <c r="B280" s="142"/>
      <c r="C280" s="580"/>
      <c r="D280" s="580"/>
      <c r="E280" s="580"/>
      <c r="F280" s="580"/>
      <c r="G280" s="580"/>
      <c r="H280" s="580"/>
      <c r="I280" s="143"/>
      <c r="J280" s="144"/>
      <c r="K280" s="128"/>
      <c r="L280" s="10"/>
      <c r="M280" s="10"/>
      <c r="N280" s="10"/>
      <c r="O280" s="10">
        <f>O2590</f>
        <v>0</v>
      </c>
    </row>
    <row r="281" spans="2:15" hidden="1" x14ac:dyDescent="0.25">
      <c r="B281" s="145"/>
      <c r="C281" s="146"/>
      <c r="D281" s="147"/>
      <c r="E281" s="148"/>
      <c r="F281" s="149"/>
      <c r="G281" s="150"/>
      <c r="H281" s="149"/>
      <c r="I281" s="149"/>
      <c r="J281" s="149"/>
      <c r="K281" s="87"/>
      <c r="L281" s="27"/>
      <c r="M281" s="27"/>
      <c r="N281" s="27"/>
      <c r="O281" s="27"/>
    </row>
    <row r="282" spans="2:15" x14ac:dyDescent="0.25">
      <c r="B282" s="153"/>
      <c r="C282" s="581"/>
      <c r="D282" s="581"/>
      <c r="E282" s="581"/>
      <c r="F282" s="581"/>
      <c r="G282" s="581"/>
      <c r="H282" s="581"/>
      <c r="I282" s="141"/>
      <c r="J282" s="154"/>
      <c r="K282" s="127"/>
      <c r="L282" s="7"/>
      <c r="M282" s="7"/>
      <c r="N282" s="47">
        <f>N285</f>
        <v>0</v>
      </c>
      <c r="O282" s="7" t="e">
        <f>N282/$N$297</f>
        <v>#REF!</v>
      </c>
    </row>
    <row r="283" spans="2:15" ht="10.15" hidden="1" customHeight="1" x14ac:dyDescent="0.25">
      <c r="B283" s="145"/>
      <c r="C283" s="146"/>
      <c r="D283" s="147"/>
      <c r="E283" s="148"/>
      <c r="F283" s="149"/>
      <c r="G283" s="150"/>
      <c r="H283" s="149"/>
      <c r="I283" s="149"/>
      <c r="J283" s="149"/>
      <c r="K283" s="87"/>
      <c r="L283" s="27"/>
      <c r="M283" s="27"/>
      <c r="N283" s="27"/>
      <c r="O283" s="27"/>
    </row>
    <row r="284" spans="2:15" ht="14.65" customHeight="1" x14ac:dyDescent="0.25">
      <c r="B284" s="142"/>
      <c r="C284" s="580"/>
      <c r="D284" s="580"/>
      <c r="E284" s="580"/>
      <c r="F284" s="580"/>
      <c r="G284" s="580"/>
      <c r="H284" s="580"/>
      <c r="I284" s="143"/>
      <c r="J284" s="144"/>
      <c r="K284" s="128"/>
      <c r="L284" s="10"/>
      <c r="M284" s="10"/>
      <c r="N284" s="52">
        <f>SUM(N285)</f>
        <v>0</v>
      </c>
      <c r="O284" s="10" t="e">
        <f>N284/N284</f>
        <v>#DIV/0!</v>
      </c>
    </row>
    <row r="285" spans="2:15" ht="59.65" customHeight="1" x14ac:dyDescent="0.25">
      <c r="B285" s="145"/>
      <c r="C285" s="146"/>
      <c r="D285" s="147"/>
      <c r="E285" s="148"/>
      <c r="F285" s="149"/>
      <c r="G285" s="150"/>
      <c r="H285" s="149"/>
      <c r="I285" s="149"/>
      <c r="J285" s="149"/>
      <c r="K285" s="87"/>
      <c r="L285" s="27"/>
      <c r="M285" s="27"/>
      <c r="N285" s="27"/>
      <c r="O285" s="27"/>
    </row>
    <row r="286" spans="2:15" x14ac:dyDescent="0.25">
      <c r="B286" s="153"/>
      <c r="C286" s="581"/>
      <c r="D286" s="581"/>
      <c r="E286" s="581"/>
      <c r="F286" s="581"/>
      <c r="G286" s="581"/>
      <c r="H286" s="581"/>
      <c r="I286" s="141"/>
      <c r="J286" s="154"/>
      <c r="K286" s="127"/>
      <c r="L286" s="7"/>
      <c r="M286" s="7"/>
      <c r="N286" s="47">
        <f>N288</f>
        <v>0</v>
      </c>
      <c r="O286" s="7" t="e">
        <f>N286/$N$297</f>
        <v>#REF!</v>
      </c>
    </row>
    <row r="287" spans="2:15" ht="14.65" customHeight="1" x14ac:dyDescent="0.25">
      <c r="B287" s="142"/>
      <c r="C287" s="580"/>
      <c r="D287" s="580"/>
      <c r="E287" s="580"/>
      <c r="F287" s="580"/>
      <c r="G287" s="580"/>
      <c r="H287" s="580"/>
      <c r="I287" s="143"/>
      <c r="J287" s="144"/>
      <c r="K287" s="128"/>
      <c r="L287" s="10"/>
      <c r="M287" s="10"/>
      <c r="N287" s="52">
        <f>SUM(N288)</f>
        <v>0</v>
      </c>
      <c r="O287" s="10" t="e">
        <f>N287/N287</f>
        <v>#DIV/0!</v>
      </c>
    </row>
    <row r="288" spans="2:15" ht="18" customHeight="1" x14ac:dyDescent="0.25">
      <c r="B288" s="145"/>
      <c r="C288" s="146"/>
      <c r="D288" s="147"/>
      <c r="E288" s="148"/>
      <c r="F288" s="149"/>
      <c r="G288" s="150"/>
      <c r="H288" s="149"/>
      <c r="I288" s="149"/>
      <c r="J288" s="149"/>
      <c r="K288" s="87"/>
      <c r="L288" s="27"/>
      <c r="M288" s="27"/>
      <c r="N288" s="27"/>
      <c r="O288" s="27"/>
    </row>
    <row r="289" spans="2:15" x14ac:dyDescent="0.25">
      <c r="B289" s="153"/>
      <c r="C289" s="581"/>
      <c r="D289" s="581"/>
      <c r="E289" s="581"/>
      <c r="F289" s="581"/>
      <c r="G289" s="581"/>
      <c r="H289" s="581"/>
      <c r="I289" s="141"/>
      <c r="J289" s="154"/>
      <c r="K289" s="127"/>
      <c r="L289" s="7"/>
      <c r="M289" s="7"/>
      <c r="N289" s="47" t="e">
        <f>N290</f>
        <v>#REF!</v>
      </c>
      <c r="O289" s="7" t="e">
        <f>N289/$N$297</f>
        <v>#REF!</v>
      </c>
    </row>
    <row r="290" spans="2:15" ht="27.4" customHeight="1" x14ac:dyDescent="0.25">
      <c r="B290" s="145"/>
      <c r="C290" s="163"/>
      <c r="D290" s="147"/>
      <c r="E290" s="148"/>
      <c r="F290" s="164"/>
      <c r="G290" s="150"/>
      <c r="H290" s="164"/>
      <c r="I290" s="149"/>
      <c r="J290" s="149"/>
      <c r="K290" s="87" t="e">
        <f>(#REF!+#REF!+#REF!+#REF!+#REF!+#REF!+#REF!+#REF!+#REF!)*($E$290/100)</f>
        <v>#REF!</v>
      </c>
      <c r="L290" s="27"/>
      <c r="M290" s="46" t="e">
        <f>N20+N37+N70+N101+N128+N137+N146+#REF!</f>
        <v>#REF!</v>
      </c>
      <c r="N290" s="46" t="e">
        <f>ROUND((M290*(#REF!/100)),2)</f>
        <v>#REF!</v>
      </c>
      <c r="O290" s="27" t="e">
        <f>N290/N289</f>
        <v>#REF!</v>
      </c>
    </row>
    <row r="291" spans="2:15" hidden="1" x14ac:dyDescent="0.25">
      <c r="B291" s="153" t="s">
        <v>24</v>
      </c>
      <c r="C291" s="581" t="s">
        <v>25</v>
      </c>
      <c r="D291" s="581"/>
      <c r="E291" s="581"/>
      <c r="F291" s="581"/>
      <c r="G291" s="581"/>
      <c r="H291" s="149"/>
      <c r="I291" s="149"/>
      <c r="J291" s="149"/>
      <c r="K291" s="61"/>
      <c r="L291" s="62"/>
      <c r="M291" s="63"/>
      <c r="N291" s="54" t="e">
        <f>N292+N294</f>
        <v>#REF!</v>
      </c>
      <c r="O291" s="7" t="e">
        <f>N291/N297</f>
        <v>#REF!</v>
      </c>
    </row>
    <row r="292" spans="2:15" hidden="1" x14ac:dyDescent="0.25">
      <c r="B292" s="142" t="s">
        <v>26</v>
      </c>
      <c r="C292" s="165" t="s">
        <v>27</v>
      </c>
      <c r="D292" s="165"/>
      <c r="E292" s="148"/>
      <c r="F292" s="149"/>
      <c r="G292" s="150"/>
      <c r="H292" s="149"/>
      <c r="I292" s="149"/>
      <c r="J292" s="149"/>
      <c r="K292" s="64"/>
      <c r="L292" s="65"/>
      <c r="M292" s="66"/>
      <c r="N292" s="52" t="e">
        <f>SUM(N293)</f>
        <v>#REF!</v>
      </c>
      <c r="O292" s="10">
        <v>0</v>
      </c>
    </row>
    <row r="293" spans="2:15" ht="28.5" hidden="1" x14ac:dyDescent="0.25">
      <c r="B293" s="145" t="s">
        <v>28</v>
      </c>
      <c r="C293" s="163" t="s">
        <v>29</v>
      </c>
      <c r="D293" s="147" t="s">
        <v>13</v>
      </c>
      <c r="E293" s="148">
        <v>0</v>
      </c>
      <c r="F293" s="149">
        <v>38.71</v>
      </c>
      <c r="G293" s="150">
        <v>1.2695000000000001</v>
      </c>
      <c r="H293" s="149"/>
      <c r="I293" s="149" t="e">
        <f>ROUND(F293*(1+#REF!),2)</f>
        <v>#REF!</v>
      </c>
      <c r="J293" s="149"/>
      <c r="K293" s="57"/>
      <c r="L293" s="59"/>
      <c r="M293" s="60"/>
      <c r="N293" s="53" t="e">
        <f>ROUND((E293*I293),2)</f>
        <v>#REF!</v>
      </c>
      <c r="O293" s="27">
        <v>0</v>
      </c>
    </row>
    <row r="294" spans="2:15" ht="38.65" hidden="1" customHeight="1" x14ac:dyDescent="0.25">
      <c r="B294" s="142" t="s">
        <v>30</v>
      </c>
      <c r="C294" s="165" t="s">
        <v>31</v>
      </c>
      <c r="D294" s="165"/>
      <c r="E294" s="165"/>
      <c r="F294" s="165"/>
      <c r="G294" s="165"/>
      <c r="H294" s="166"/>
      <c r="I294" s="167"/>
      <c r="J294" s="165"/>
      <c r="K294" s="134"/>
      <c r="L294" s="32"/>
      <c r="M294" s="66"/>
      <c r="N294" s="52" t="e">
        <f>SUM(N295:N296)</f>
        <v>#REF!</v>
      </c>
      <c r="O294" s="67">
        <v>0</v>
      </c>
    </row>
    <row r="295" spans="2:15" ht="43.9" hidden="1" customHeight="1" x14ac:dyDescent="0.25">
      <c r="B295" s="145" t="s">
        <v>32</v>
      </c>
      <c r="C295" s="163" t="s">
        <v>33</v>
      </c>
      <c r="D295" s="147" t="s">
        <v>13</v>
      </c>
      <c r="E295" s="148">
        <v>0</v>
      </c>
      <c r="F295" s="144">
        <v>20.329999999999998</v>
      </c>
      <c r="G295" s="150">
        <v>1.2695000000000001</v>
      </c>
      <c r="H295" s="166"/>
      <c r="I295" s="149" t="e">
        <f>ROUND(F295*(1+#REF!),2)</f>
        <v>#REF!</v>
      </c>
      <c r="J295" s="165"/>
      <c r="K295" s="135"/>
      <c r="L295" s="68"/>
      <c r="M295" s="69"/>
      <c r="N295" s="53" t="e">
        <f>ROUND((E295*I295),2)</f>
        <v>#REF!</v>
      </c>
      <c r="O295" s="19" t="e">
        <f>N295/N294</f>
        <v>#REF!</v>
      </c>
    </row>
    <row r="296" spans="2:15" ht="26.65" hidden="1" customHeight="1" x14ac:dyDescent="0.25">
      <c r="B296" s="145" t="s">
        <v>34</v>
      </c>
      <c r="C296" s="168" t="s">
        <v>35</v>
      </c>
      <c r="D296" s="147" t="s">
        <v>13</v>
      </c>
      <c r="E296" s="148">
        <v>0</v>
      </c>
      <c r="F296" s="144">
        <v>66.97</v>
      </c>
      <c r="G296" s="150">
        <v>1.2695000000000001</v>
      </c>
      <c r="H296" s="166"/>
      <c r="I296" s="149" t="e">
        <f>ROUND(F296*(1+#REF!),2)</f>
        <v>#REF!</v>
      </c>
      <c r="J296" s="165"/>
      <c r="K296" s="136"/>
      <c r="L296" s="70"/>
      <c r="M296" s="69"/>
      <c r="N296" s="53" t="e">
        <f>ROUND((E296*I296),2)</f>
        <v>#REF!</v>
      </c>
      <c r="O296" s="19" t="e">
        <f>N296/N294</f>
        <v>#REF!</v>
      </c>
    </row>
    <row r="297" spans="2:15" ht="15.75" x14ac:dyDescent="0.25">
      <c r="B297" s="582"/>
      <c r="C297" s="582"/>
      <c r="D297" s="582"/>
      <c r="E297" s="582"/>
      <c r="F297" s="582"/>
      <c r="G297" s="582"/>
      <c r="H297" s="582"/>
      <c r="I297" s="169"/>
      <c r="J297" s="170"/>
      <c r="K297" s="137"/>
      <c r="L297" s="37" t="e">
        <f>#REF!+L20+L37+L70+L101+L128+L137+L146+L164+L231+L240+L250+L261+L289</f>
        <v>#REF!</v>
      </c>
      <c r="M297" s="37"/>
      <c r="N297" s="36" t="e">
        <f>#REF!+N20+N37+N70+N101+N128+N137+N146+N164+N231+N240+N250+N261+N289+N291</f>
        <v>#REF!</v>
      </c>
      <c r="O297" s="7" t="e">
        <f>N297/$N$297</f>
        <v>#REF!</v>
      </c>
    </row>
    <row r="298" spans="2:15" x14ac:dyDescent="0.25">
      <c r="B298" s="583"/>
      <c r="C298" s="584"/>
      <c r="D298" s="171"/>
      <c r="E298" s="171"/>
      <c r="F298" s="171"/>
      <c r="G298" s="171"/>
      <c r="H298" s="171"/>
      <c r="I298" s="171"/>
      <c r="J298" s="171"/>
    </row>
    <row r="299" spans="2:15" ht="14.65" hidden="1" customHeight="1" x14ac:dyDescent="0.25">
      <c r="B299" s="585"/>
      <c r="C299" s="586"/>
      <c r="D299" s="587" t="s">
        <v>36</v>
      </c>
      <c r="E299" s="588"/>
      <c r="F299" s="588"/>
      <c r="G299" s="588"/>
      <c r="H299" s="588"/>
      <c r="I299" s="588"/>
      <c r="J299" s="589"/>
      <c r="K299" s="38"/>
    </row>
    <row r="300" spans="2:15" ht="14.65" hidden="1" customHeight="1" x14ac:dyDescent="0.25">
      <c r="B300" s="590"/>
      <c r="C300" s="590"/>
      <c r="D300" s="575" t="s">
        <v>37</v>
      </c>
      <c r="E300" s="576"/>
      <c r="F300" s="576"/>
      <c r="G300" s="576"/>
      <c r="H300" s="591"/>
      <c r="I300" s="5"/>
      <c r="J300" s="39">
        <v>69730000</v>
      </c>
      <c r="K300" s="40"/>
    </row>
    <row r="301" spans="2:15" ht="14.65" hidden="1" customHeight="1" x14ac:dyDescent="0.25">
      <c r="B301" s="579"/>
      <c r="C301" s="579"/>
      <c r="D301" s="575" t="s">
        <v>38</v>
      </c>
      <c r="E301" s="576"/>
      <c r="F301" s="576"/>
      <c r="G301" s="576"/>
      <c r="H301" s="576"/>
      <c r="I301" s="5"/>
      <c r="J301" s="39">
        <v>74204223.310000002</v>
      </c>
      <c r="K301" s="40"/>
    </row>
    <row r="302" spans="2:15" ht="14.65" hidden="1" customHeight="1" x14ac:dyDescent="0.25">
      <c r="B302" s="590"/>
      <c r="C302" s="590"/>
      <c r="D302" s="575" t="s">
        <v>39</v>
      </c>
      <c r="E302" s="576"/>
      <c r="F302" s="576"/>
      <c r="G302" s="576"/>
      <c r="H302" s="576"/>
      <c r="I302" s="5"/>
      <c r="J302" s="41">
        <f>(J301-J300)/J300</f>
        <v>6.416496931019651E-2</v>
      </c>
      <c r="K302" s="42"/>
    </row>
    <row r="303" spans="2:15" ht="14.65" hidden="1" customHeight="1" x14ac:dyDescent="0.25">
      <c r="D303" s="575" t="s">
        <v>40</v>
      </c>
      <c r="E303" s="576"/>
      <c r="F303" s="576"/>
      <c r="G303" s="576"/>
      <c r="H303" s="576"/>
      <c r="I303" s="5"/>
      <c r="J303" s="41">
        <v>7.5499999999999998E-2</v>
      </c>
      <c r="K303" s="42"/>
    </row>
    <row r="304" spans="2:15" ht="14.65" hidden="1" customHeight="1" x14ac:dyDescent="0.25">
      <c r="D304" s="575" t="s">
        <v>41</v>
      </c>
      <c r="E304" s="576"/>
      <c r="F304" s="576"/>
      <c r="G304" s="576"/>
      <c r="H304" s="576"/>
      <c r="I304" s="5"/>
      <c r="J304" s="39">
        <f>J303*J301</f>
        <v>5602418.8599049998</v>
      </c>
      <c r="K304" s="40"/>
    </row>
    <row r="305" spans="3:11" ht="15" hidden="1" customHeight="1" x14ac:dyDescent="0.25">
      <c r="D305" s="577" t="s">
        <v>42</v>
      </c>
      <c r="E305" s="578"/>
      <c r="F305" s="578"/>
      <c r="G305" s="578"/>
      <c r="H305" s="578"/>
      <c r="I305" s="43"/>
      <c r="J305" s="44">
        <f>J297</f>
        <v>0</v>
      </c>
      <c r="K305" s="40"/>
    </row>
    <row r="306" spans="3:11" hidden="1" x14ac:dyDescent="0.25"/>
    <row r="307" spans="3:11" hidden="1" x14ac:dyDescent="0.25"/>
    <row r="308" spans="3:11" hidden="1" x14ac:dyDescent="0.25"/>
    <row r="309" spans="3:11" hidden="1" x14ac:dyDescent="0.25">
      <c r="J309" s="20">
        <f>J297-J301</f>
        <v>-74204223.310000002</v>
      </c>
      <c r="K309" s="20"/>
    </row>
    <row r="310" spans="3:11" x14ac:dyDescent="0.25">
      <c r="C310" s="88"/>
    </row>
    <row r="312" spans="3:11" x14ac:dyDescent="0.25">
      <c r="H312" s="20"/>
      <c r="J312" s="20"/>
      <c r="K312" s="20"/>
    </row>
    <row r="313" spans="3:11" x14ac:dyDescent="0.25">
      <c r="J313" s="20"/>
      <c r="K313" s="20"/>
    </row>
  </sheetData>
  <mergeCells count="67">
    <mergeCell ref="J195:J196"/>
    <mergeCell ref="B186:H187"/>
    <mergeCell ref="J186:J187"/>
    <mergeCell ref="J117:J118"/>
    <mergeCell ref="B127:H128"/>
    <mergeCell ref="J127:J128"/>
    <mergeCell ref="B139:H140"/>
    <mergeCell ref="J139:J140"/>
    <mergeCell ref="B117:H118"/>
    <mergeCell ref="C138:H138"/>
    <mergeCell ref="B150:H151"/>
    <mergeCell ref="J150:J151"/>
    <mergeCell ref="B171:H172"/>
    <mergeCell ref="J171:J172"/>
    <mergeCell ref="J37:J38"/>
    <mergeCell ref="J14:J15"/>
    <mergeCell ref="B53:H54"/>
    <mergeCell ref="J53:J54"/>
    <mergeCell ref="B101:H102"/>
    <mergeCell ref="J101:J102"/>
    <mergeCell ref="B14:H15"/>
    <mergeCell ref="B37:H38"/>
    <mergeCell ref="C68:H68"/>
    <mergeCell ref="C70:H70"/>
    <mergeCell ref="C80:H80"/>
    <mergeCell ref="C83:H83"/>
    <mergeCell ref="C88:H88"/>
    <mergeCell ref="C71:H71"/>
    <mergeCell ref="C74:H74"/>
    <mergeCell ref="C77:H77"/>
    <mergeCell ref="C116:H116"/>
    <mergeCell ref="C92:H92"/>
    <mergeCell ref="B302:C302"/>
    <mergeCell ref="D302:H302"/>
    <mergeCell ref="D303:H303"/>
    <mergeCell ref="C280:H280"/>
    <mergeCell ref="C282:H282"/>
    <mergeCell ref="C284:H284"/>
    <mergeCell ref="C286:H286"/>
    <mergeCell ref="C240:H240"/>
    <mergeCell ref="C241:H241"/>
    <mergeCell ref="C262:H262"/>
    <mergeCell ref="C275:H275"/>
    <mergeCell ref="C94:H94"/>
    <mergeCell ref="C97:H97"/>
    <mergeCell ref="B195:H196"/>
    <mergeCell ref="D304:H304"/>
    <mergeCell ref="D305:H305"/>
    <mergeCell ref="B301:C301"/>
    <mergeCell ref="D301:H301"/>
    <mergeCell ref="C287:H287"/>
    <mergeCell ref="C289:H289"/>
    <mergeCell ref="C291:G291"/>
    <mergeCell ref="B297:H297"/>
    <mergeCell ref="B298:C298"/>
    <mergeCell ref="B299:C299"/>
    <mergeCell ref="D299:J299"/>
    <mergeCell ref="B300:C300"/>
    <mergeCell ref="D300:H300"/>
    <mergeCell ref="L14:L15"/>
    <mergeCell ref="O14:O15"/>
    <mergeCell ref="B3:O7"/>
    <mergeCell ref="B8:K8"/>
    <mergeCell ref="B9:J9"/>
    <mergeCell ref="B10:O10"/>
    <mergeCell ref="B11:O11"/>
    <mergeCell ref="B12:O12"/>
  </mergeCells>
  <pageMargins left="0.511811024" right="0.511811024" top="0.78740157499999996" bottom="0.78740157499999996" header="0.31496062000000002" footer="0.31496062000000002"/>
  <ignoredErrors>
    <ignoredError sqref="G20:G21 D20:D22 D24 D46:D50 D57:D61 G59:G60 D105:D108 D120:D124 G123:G124 G133:G134 D142:D144 D130:D134 G146 D146 D164:D166 G178 D174:D180 G180 D181:D183 D189:D192 D227:D236 D224:D226 D218:D219 D221 D213 D216 D208:D211 D204:D205 D200:D201 G211:G212 G201:G202 G221:G222 G231:G232 G189" numberStoredAsText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d21b1c-1b3f-42e7-b6be-11753069730e" xsi:nil="true"/>
    <lcf76f155ced4ddcb4097134ff3c332f xmlns="5449ad31-71b4-49f3-9438-83ac72fae87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C1336A72C16D4493E3DE1E2F688215" ma:contentTypeVersion="20" ma:contentTypeDescription="Crie um novo documento." ma:contentTypeScope="" ma:versionID="e003866e8ebfee7ca455587b6265ad29">
  <xsd:schema xmlns:xsd="http://www.w3.org/2001/XMLSchema" xmlns:xs="http://www.w3.org/2001/XMLSchema" xmlns:p="http://schemas.microsoft.com/office/2006/metadata/properties" xmlns:ns2="5449ad31-71b4-49f3-9438-83ac72fae87a" xmlns:ns3="e7d21b1c-1b3f-42e7-b6be-11753069730e" targetNamespace="http://schemas.microsoft.com/office/2006/metadata/properties" ma:root="true" ma:fieldsID="4f02f353b9aded5dcdac86a24a27ec51" ns2:_="" ns3:_="">
    <xsd:import namespace="5449ad31-71b4-49f3-9438-83ac72fae87a"/>
    <xsd:import namespace="e7d21b1c-1b3f-42e7-b6be-1175306973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Location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ad31-71b4-49f3-9438-83ac72fae8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edfd2d9-c79d-4056-a5e7-99e7d1c8b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21b1c-1b3f-42e7-b6be-11753069730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4def51f-5f9b-4b08-bf4d-1e08fc3980c3}" ma:internalName="TaxCatchAll" ma:showField="CatchAllData" ma:web="e7d21b1c-1b3f-42e7-b6be-1175306973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A740B1-6439-4A8B-A42A-168CB5E927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C76472-7405-43B2-AE6A-BB0AEDC9564F}">
  <ds:schemaRefs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e7d21b1c-1b3f-42e7-b6be-11753069730e"/>
    <ds:schemaRef ds:uri="http://schemas.openxmlformats.org/package/2006/metadata/core-properties"/>
    <ds:schemaRef ds:uri="http://schemas.microsoft.com/office/2006/documentManagement/types"/>
    <ds:schemaRef ds:uri="5449ad31-71b4-49f3-9438-83ac72fae87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16EE39D-8A74-4A10-AC7F-B6F1BCBF9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ad31-71b4-49f3-9438-83ac72fae87a"/>
    <ds:schemaRef ds:uri="e7d21b1c-1b3f-42e7-b6be-1175306973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PLANILHA DE CUSTOS OBRA</vt:lpstr>
      <vt:lpstr>CRONOGRAMA</vt:lpstr>
      <vt:lpstr>ANEXO BDI - OUTRAS OBRAS E SERV</vt:lpstr>
      <vt:lpstr>COMPOSIÇÃO</vt:lpstr>
      <vt:lpstr>'ANEXO BDI - OUTRAS OBRAS E SERV'!Area_de_impressao</vt:lpstr>
      <vt:lpstr>'PLANILHA DE CUSTOS OBRA'!Area_de_impressao</vt:lpstr>
      <vt:lpstr>'ANEXO BDI - OUTRAS OBRAS E SERV'!Print_Area_0</vt:lpstr>
      <vt:lpstr>'ANEXO BDI - OUTRAS OBRAS E SERV'!Print_Area_0_0</vt:lpstr>
      <vt:lpstr>'ANEXO BDI - OUTRAS OBRAS E SERV'!Print_Area_0_0_0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CIMVALPI</dc:creator>
  <cp:keywords/>
  <dc:description/>
  <cp:lastModifiedBy>COORD. LICITA</cp:lastModifiedBy>
  <cp:revision/>
  <cp:lastPrinted>2025-11-17T09:40:41Z</cp:lastPrinted>
  <dcterms:created xsi:type="dcterms:W3CDTF">2023-02-17T11:40:15Z</dcterms:created>
  <dcterms:modified xsi:type="dcterms:W3CDTF">2025-12-29T17:35:04Z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0x010100E7C1336A72C16D4493E3DE1E2F688215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2024-02-21T13:38:54Z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bf7feef0-a569-4792-8bb1-249d9ec1732a</vt:lpwstr>
  </property>
  <property fmtid="{D5CDD505-2E9C-101B-9397-08002B2CF9AE}" pid="9" name="MSIP_Label_defa4170-0d19-0005-0004-bc88714345d2_ActionId">
    <vt:lpwstr>eaa752dd-8b8c-4799-baee-fe0c0f2558e3</vt:lpwstr>
  </property>
  <property fmtid="{D5CDD505-2E9C-101B-9397-08002B2CF9AE}" pid="10" name="MSIP_Label_defa4170-0d19-0005-0004-bc88714345d2_ContentBits">
    <vt:lpwstr>0</vt:lpwstr>
  </property>
</Properties>
</file>